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nciairportsbr-my.sharepoint.com/personal/sigride_nascimento_vinci-airports_com_br/Documents/Arquivos de Chat do Microsoft Teams/"/>
    </mc:Choice>
  </mc:AlternateContent>
  <xr:revisionPtr revIDLastSave="4" documentId="13_ncr:1_{2BE66673-0D3D-44C0-8238-02DE81A60A6F}" xr6:coauthVersionLast="47" xr6:coauthVersionMax="47" xr10:uidLastSave="{039B1A41-FA7C-4C73-9E33-FFB871F7610B}"/>
  <bookViews>
    <workbookView xWindow="-120" yWindow="-120" windowWidth="29040" windowHeight="15840" xr2:uid="{073B8C92-06CF-495E-81E2-98F72352D498}"/>
  </bookViews>
  <sheets>
    <sheet name="IMPORTACAO" sheetId="10" r:id="rId1"/>
    <sheet name="EXPORTACAO" sheetId="12" r:id="rId2"/>
  </sheets>
  <definedNames>
    <definedName name="_xlnm.Print_Area" localSheetId="1">EXPORTACAO!$A$1:$BE$21</definedName>
    <definedName name="_xlnm.Print_Area" localSheetId="0">IMPORTACAO!$A$1:$CT$23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0" l="1"/>
  <c r="DE6" i="10"/>
  <c r="DE7" i="10" s="1"/>
  <c r="DE8" i="10" s="1"/>
  <c r="DE9" i="10" s="1"/>
  <c r="DE10" i="10" s="1"/>
  <c r="DE11" i="10" s="1"/>
  <c r="DE12" i="10" s="1"/>
  <c r="DE13" i="10" s="1"/>
  <c r="DE14" i="10" s="1"/>
  <c r="AQ11" i="12"/>
  <c r="AQ12" i="12" s="1"/>
  <c r="AC11" i="12" l="1"/>
  <c r="AC12" i="12" s="1"/>
  <c r="AC13" i="12" s="1"/>
  <c r="AC14" i="12" s="1"/>
  <c r="AC15" i="12" s="1"/>
  <c r="AC16" i="12" s="1"/>
  <c r="AC17" i="12" s="1"/>
  <c r="AC18" i="12" s="1"/>
  <c r="AC19" i="12" s="1"/>
  <c r="AC20" i="12" s="1"/>
  <c r="AC9" i="12"/>
  <c r="AR12" i="12"/>
  <c r="G12" i="12" s="1"/>
  <c r="D12" i="12"/>
  <c r="AQ13" i="12"/>
  <c r="AR11" i="12"/>
  <c r="G11" i="12" s="1"/>
  <c r="D11" i="12"/>
  <c r="AJ9" i="12" l="1"/>
  <c r="AR13" i="12"/>
  <c r="G13" i="12" s="1"/>
  <c r="D13" i="12"/>
  <c r="AQ14" i="12"/>
  <c r="AR14" i="12" l="1"/>
  <c r="G14" i="12" s="1"/>
  <c r="D14" i="12"/>
  <c r="AQ15" i="12"/>
  <c r="AQ16" i="12" l="1"/>
  <c r="D15" i="12"/>
  <c r="AR15" i="12"/>
  <c r="G15" i="12" s="1"/>
  <c r="AQ17" i="12" l="1"/>
  <c r="D16" i="12"/>
  <c r="AR16" i="12"/>
  <c r="G16" i="12" s="1"/>
  <c r="AQ18" i="12" l="1"/>
  <c r="AR17" i="12"/>
  <c r="G17" i="12" s="1"/>
  <c r="D17" i="12"/>
  <c r="AQ19" i="12" l="1"/>
  <c r="AR18" i="12"/>
  <c r="G18" i="12" s="1"/>
  <c r="D18" i="12"/>
  <c r="AQ20" i="12" l="1"/>
  <c r="AR19" i="12"/>
  <c r="G19" i="12" s="1"/>
  <c r="D19" i="12"/>
  <c r="AR20" i="12" l="1"/>
  <c r="G20" i="12" s="1"/>
  <c r="D20" i="12"/>
  <c r="CV8" i="10" l="1"/>
  <c r="X20" i="12" l="1"/>
  <c r="X19" i="12"/>
  <c r="X18" i="12"/>
  <c r="X17" i="12"/>
  <c r="X16" i="12"/>
  <c r="X15" i="12"/>
  <c r="X14" i="12"/>
  <c r="X13" i="12"/>
  <c r="X12" i="12"/>
  <c r="DI6" i="10"/>
  <c r="DI7" i="10" s="1"/>
  <c r="DI8" i="10" s="1"/>
  <c r="DI9" i="10" s="1"/>
  <c r="DI10" i="10" s="1"/>
  <c r="DI11" i="10" s="1"/>
  <c r="DI12" i="10" s="1"/>
  <c r="DI13" i="10" s="1"/>
  <c r="DI14" i="10" s="1"/>
  <c r="DF8" i="10"/>
  <c r="DF9" i="10" s="1"/>
  <c r="DF10" i="10" s="1"/>
  <c r="DF11" i="10" s="1"/>
  <c r="DF12" i="10" s="1"/>
  <c r="DF13" i="10" s="1"/>
  <c r="DF14" i="10" s="1"/>
  <c r="CT20" i="10"/>
  <c r="CT19" i="10"/>
  <c r="CT18" i="10"/>
  <c r="CT17" i="10"/>
  <c r="CT16" i="10"/>
  <c r="CT15" i="10"/>
  <c r="CT14" i="10"/>
  <c r="CT13" i="10"/>
  <c r="CT12" i="10"/>
  <c r="X11" i="12" l="1"/>
  <c r="CT11" i="10"/>
  <c r="N7" i="10"/>
  <c r="K10" i="10" l="1"/>
  <c r="G10" i="10"/>
  <c r="CU14" i="10" l="1"/>
  <c r="CU13" i="10"/>
  <c r="G13" i="10" s="1"/>
  <c r="CU20" i="10"/>
  <c r="CU12" i="10"/>
  <c r="CU19" i="10"/>
  <c r="G19" i="10" s="1"/>
  <c r="CU11" i="10"/>
  <c r="G11" i="10" s="1"/>
  <c r="CU18" i="10"/>
  <c r="G18" i="10" s="1"/>
  <c r="AH7" i="10" a="1"/>
  <c r="AH7" i="10" s="1"/>
  <c r="CU17" i="10"/>
  <c r="CU16" i="10"/>
  <c r="G16" i="10" s="1"/>
  <c r="CU15" i="10"/>
  <c r="G15" i="10" s="1"/>
  <c r="AB11" i="10"/>
  <c r="AB12" i="10" s="1"/>
  <c r="AB13" i="10" s="1"/>
  <c r="AB14" i="10" s="1"/>
  <c r="AB15" i="10" s="1"/>
  <c r="AB16" i="10" s="1"/>
  <c r="AB17" i="10" s="1"/>
  <c r="AB18" i="10" s="1"/>
  <c r="AB19" i="10" s="1"/>
  <c r="AB20" i="10" s="1"/>
  <c r="K13" i="10"/>
  <c r="K20" i="10"/>
  <c r="K12" i="10"/>
  <c r="K11" i="10"/>
  <c r="K19" i="10"/>
  <c r="K18" i="10"/>
  <c r="K17" i="10"/>
  <c r="K16" i="10"/>
  <c r="K15" i="10"/>
  <c r="K14" i="10"/>
  <c r="G20" i="10"/>
  <c r="G12" i="10"/>
  <c r="G17" i="10"/>
  <c r="G14" i="10"/>
  <c r="W11" i="10" l="1"/>
  <c r="W15" i="10"/>
  <c r="W12" i="10"/>
  <c r="W16" i="10"/>
  <c r="W18" i="10"/>
  <c r="W19" i="10"/>
  <c r="W13" i="10"/>
  <c r="W14" i="10"/>
  <c r="W20" i="10"/>
  <c r="W17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<sst xmlns="http://schemas.openxmlformats.org/spreadsheetml/2006/main" count="58" uniqueCount="36">
  <si>
    <t>CIF R$</t>
  </si>
  <si>
    <t>FAIXA</t>
  </si>
  <si>
    <t>PER</t>
  </si>
  <si>
    <t>%</t>
  </si>
  <si>
    <t>01</t>
  </si>
  <si>
    <t>05</t>
  </si>
  <si>
    <t>TAB</t>
  </si>
  <si>
    <t>MINIMO</t>
  </si>
  <si>
    <t>04</t>
  </si>
  <si>
    <t>02</t>
  </si>
  <si>
    <t>-</t>
  </si>
  <si>
    <t>TAB03</t>
  </si>
  <si>
    <t>Sim</t>
  </si>
  <si>
    <t>Não</t>
  </si>
  <si>
    <t>DAI - DOCUMENTO DE ARRECADAÇÃO DE IMPORTAÇÃO</t>
  </si>
  <si>
    <t>VALOR A PAGAR</t>
  </si>
  <si>
    <t>Periodo</t>
  </si>
  <si>
    <t>Valor devido</t>
  </si>
  <si>
    <t>Data vencimento</t>
  </si>
  <si>
    <t>HORA DE ENTRADA NO TECA</t>
  </si>
  <si>
    <t>06</t>
  </si>
  <si>
    <t>07</t>
  </si>
  <si>
    <t>PESO B</t>
  </si>
  <si>
    <t>PESO L</t>
  </si>
  <si>
    <t>03</t>
  </si>
  <si>
    <t>08</t>
  </si>
  <si>
    <t>09</t>
  </si>
  <si>
    <t>10</t>
  </si>
  <si>
    <t>SIMULAÇÃO</t>
  </si>
  <si>
    <t>Data de vencimento de acordo com a data da retirada da carga.</t>
  </si>
  <si>
    <t>FOB R$</t>
  </si>
  <si>
    <t>VOLUME</t>
  </si>
  <si>
    <t>DAE - DOCUMENTO DE ARRECADAÇÃO DE EXPORTAÇÃO</t>
  </si>
  <si>
    <t>27.950.582/0001-23 - CONCESSIONARIA DO AEROPORTO DE SALVADOR S.A.</t>
  </si>
  <si>
    <t>TECA SSA - Funcionamento 24 x 7 - dias úteis</t>
  </si>
  <si>
    <t>TAB11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</si>
</sst>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00_-;\-* #,##0.0000_-;_-* &quot;-&quot;??_-;_-@_-"/>
    <numFmt numFmtId="165" formatCode="0.000%"/>
    <numFmt numFmtId="166" formatCode="0.0000%"/>
    <numFmt numFmtId="167" formatCode="_-* #,##0.000_-;\-* #,##0.000_-;_-* &quot;-&quot;??_-;_-@_-"/>
    <numFmt numFmtId="168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4" tint="-0.249977111117893"/>
      <name val="Aptos Narrow"/>
      <family val="2"/>
      <scheme val="minor"/>
    </font>
    <font>
      <sz val="10"/>
      <color theme="4" tint="-0.249977111117893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120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 textRotation="90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centerContinuous" vertical="center"/>
      <protection hidden="1"/>
    </xf>
    <xf numFmtId="0" fontId="4" fillId="0" borderId="3" xfId="0" applyFont="1" applyBorder="1" applyAlignment="1" applyProtection="1">
      <alignment horizontal="centerContinuous" vertical="center"/>
      <protection hidden="1"/>
    </xf>
    <xf numFmtId="0" fontId="4" fillId="0" borderId="4" xfId="0" applyFont="1" applyBorder="1" applyAlignment="1" applyProtection="1">
      <alignment horizontal="centerContinuous" vertical="center"/>
      <protection hidden="1"/>
    </xf>
    <xf numFmtId="0" fontId="4" fillId="2" borderId="3" xfId="0" applyFont="1" applyFill="1" applyBorder="1" applyAlignment="1" applyProtection="1">
      <alignment horizontal="centerContinuous" vertical="center"/>
      <protection hidden="1"/>
    </xf>
    <xf numFmtId="0" fontId="4" fillId="2" borderId="4" xfId="0" applyFont="1" applyFill="1" applyBorder="1" applyAlignment="1" applyProtection="1">
      <alignment horizontal="centerContinuous" vertical="center"/>
      <protection hidden="1"/>
    </xf>
    <xf numFmtId="0" fontId="4" fillId="2" borderId="2" xfId="0" applyFont="1" applyFill="1" applyBorder="1" applyAlignment="1" applyProtection="1">
      <alignment horizontal="centerContinuous" vertical="center"/>
      <protection hidden="1"/>
    </xf>
    <xf numFmtId="0" fontId="4" fillId="2" borderId="2" xfId="0" applyFont="1" applyFill="1" applyBorder="1" applyAlignment="1" applyProtection="1">
      <alignment vertical="center"/>
      <protection hidden="1"/>
    </xf>
    <xf numFmtId="0" fontId="4" fillId="2" borderId="3" xfId="0" applyFont="1" applyFill="1" applyBorder="1" applyAlignment="1" applyProtection="1">
      <alignment vertical="center"/>
      <protection hidden="1"/>
    </xf>
    <xf numFmtId="0" fontId="4" fillId="2" borderId="4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centerContinuous"/>
      <protection hidden="1"/>
    </xf>
    <xf numFmtId="0" fontId="0" fillId="0" borderId="0" xfId="0" applyAlignment="1" applyProtection="1">
      <alignment horizontal="center" vertical="center" textRotation="90"/>
      <protection hidden="1"/>
    </xf>
    <xf numFmtId="0" fontId="11" fillId="0" borderId="0" xfId="0" applyFont="1" applyProtection="1">
      <protection hidden="1"/>
    </xf>
    <xf numFmtId="0" fontId="9" fillId="0" borderId="3" xfId="0" applyFont="1" applyBorder="1" applyAlignment="1" applyProtection="1">
      <alignment horizontal="centerContinuous" vertical="center"/>
      <protection hidden="1"/>
    </xf>
    <xf numFmtId="0" fontId="9" fillId="0" borderId="4" xfId="0" applyFont="1" applyBorder="1" applyAlignment="1" applyProtection="1">
      <alignment horizontal="centerContinuous" vertical="center"/>
      <protection hidden="1"/>
    </xf>
    <xf numFmtId="43" fontId="9" fillId="0" borderId="2" xfId="1" applyFont="1" applyBorder="1" applyAlignment="1" applyProtection="1">
      <alignment horizontal="centerContinuous" vertical="center"/>
      <protection hidden="1"/>
    </xf>
    <xf numFmtId="43" fontId="9" fillId="0" borderId="3" xfId="1" applyFont="1" applyBorder="1" applyAlignment="1" applyProtection="1">
      <alignment horizontal="centerContinuous" vertical="center"/>
      <protection hidden="1"/>
    </xf>
    <xf numFmtId="43" fontId="9" fillId="0" borderId="4" xfId="1" applyFont="1" applyBorder="1" applyAlignment="1" applyProtection="1">
      <alignment horizontal="centerContinuous" vertical="center"/>
      <protection hidden="1"/>
    </xf>
    <xf numFmtId="0" fontId="9" fillId="0" borderId="2" xfId="0" applyFont="1" applyBorder="1" applyAlignment="1" applyProtection="1">
      <alignment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0" fontId="9" fillId="0" borderId="4" xfId="0" applyFont="1" applyBorder="1" applyAlignment="1" applyProtection="1">
      <alignment vertical="center"/>
      <protection hidden="1"/>
    </xf>
    <xf numFmtId="0" fontId="10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2" xfId="0" quotePrefix="1" applyFont="1" applyBorder="1" applyAlignment="1" applyProtection="1">
      <alignment horizontal="centerContinuous" vertical="center"/>
      <protection hidden="1"/>
    </xf>
    <xf numFmtId="0" fontId="3" fillId="0" borderId="0" xfId="0" applyFont="1" applyProtection="1">
      <protection hidden="1"/>
    </xf>
    <xf numFmtId="0" fontId="7" fillId="2" borderId="2" xfId="0" applyFont="1" applyFill="1" applyBorder="1" applyAlignment="1" applyProtection="1">
      <alignment horizontal="centerContinuous" vertical="center"/>
      <protection hidden="1"/>
    </xf>
    <xf numFmtId="0" fontId="3" fillId="4" borderId="0" xfId="0" applyFont="1" applyFill="1" applyProtection="1">
      <protection hidden="1"/>
    </xf>
    <xf numFmtId="0" fontId="5" fillId="4" borderId="0" xfId="3" applyFont="1" applyFill="1" applyBorder="1" applyProtection="1">
      <protection hidden="1"/>
    </xf>
    <xf numFmtId="0" fontId="6" fillId="4" borderId="0" xfId="0" applyFont="1" applyFill="1" applyAlignment="1" applyProtection="1">
      <alignment vertical="center"/>
      <protection hidden="1"/>
    </xf>
    <xf numFmtId="43" fontId="5" fillId="4" borderId="0" xfId="3" applyNumberFormat="1" applyFont="1" applyFill="1" applyBorder="1" applyProtection="1">
      <protection hidden="1"/>
    </xf>
    <xf numFmtId="0" fontId="3" fillId="4" borderId="0" xfId="0" applyFont="1" applyFill="1" applyAlignment="1" applyProtection="1">
      <alignment vertical="center"/>
      <protection hidden="1"/>
    </xf>
    <xf numFmtId="43" fontId="3" fillId="4" borderId="0" xfId="1" applyFont="1" applyFill="1" applyBorder="1" applyProtection="1"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5" fillId="4" borderId="0" xfId="0" applyFont="1" applyFill="1" applyProtection="1">
      <protection hidden="1"/>
    </xf>
    <xf numFmtId="0" fontId="5" fillId="4" borderId="0" xfId="3" applyFont="1" applyFill="1" applyBorder="1" applyAlignment="1" applyProtection="1">
      <alignment horizontal="center"/>
      <protection hidden="1"/>
    </xf>
    <xf numFmtId="0" fontId="5" fillId="4" borderId="0" xfId="3" quotePrefix="1" applyFont="1" applyFill="1" applyBorder="1" applyAlignment="1" applyProtection="1">
      <alignment horizontal="center"/>
      <protection hidden="1"/>
    </xf>
    <xf numFmtId="10" fontId="5" fillId="4" borderId="0" xfId="3" applyNumberFormat="1" applyFont="1" applyFill="1" applyBorder="1" applyAlignment="1" applyProtection="1">
      <alignment horizontal="center"/>
      <protection hidden="1"/>
    </xf>
    <xf numFmtId="164" fontId="5" fillId="4" borderId="0" xfId="3" applyNumberFormat="1" applyFont="1" applyFill="1" applyBorder="1" applyProtection="1">
      <protection hidden="1"/>
    </xf>
    <xf numFmtId="9" fontId="5" fillId="4" borderId="0" xfId="3" quotePrefix="1" applyNumberFormat="1" applyFont="1" applyFill="1" applyBorder="1" applyAlignment="1" applyProtection="1">
      <alignment horizontal="center"/>
      <protection hidden="1"/>
    </xf>
    <xf numFmtId="165" fontId="5" fillId="4" borderId="0" xfId="2" applyNumberFormat="1" applyFont="1" applyFill="1" applyBorder="1" applyProtection="1">
      <protection hidden="1"/>
    </xf>
    <xf numFmtId="166" fontId="5" fillId="4" borderId="0" xfId="3" applyNumberFormat="1" applyFont="1" applyFill="1" applyBorder="1" applyProtection="1">
      <protection hidden="1"/>
    </xf>
    <xf numFmtId="0" fontId="3" fillId="4" borderId="0" xfId="0" quotePrefix="1" applyFont="1" applyFill="1" applyAlignment="1" applyProtection="1">
      <alignment horizontal="center"/>
      <protection hidden="1"/>
    </xf>
    <xf numFmtId="10" fontId="3" fillId="4" borderId="0" xfId="2" applyNumberFormat="1" applyFont="1" applyFill="1" applyBorder="1" applyAlignment="1" applyProtection="1">
      <alignment horizontal="center"/>
      <protection hidden="1"/>
    </xf>
    <xf numFmtId="164" fontId="5" fillId="4" borderId="0" xfId="1" applyNumberFormat="1" applyFont="1" applyFill="1" applyBorder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3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3" fillId="4" borderId="0" xfId="0" applyFont="1" applyFill="1" applyProtection="1">
      <protection hidden="1"/>
    </xf>
    <xf numFmtId="0" fontId="13" fillId="0" borderId="0" xfId="0" applyFont="1" applyAlignment="1" applyProtection="1">
      <alignment horizontal="centerContinuous"/>
      <protection hidden="1"/>
    </xf>
    <xf numFmtId="0" fontId="15" fillId="4" borderId="0" xfId="0" applyFont="1" applyFill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3" fillId="4" borderId="0" xfId="0" applyFont="1" applyFill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43" fontId="9" fillId="0" borderId="2" xfId="1" applyFont="1" applyBorder="1" applyAlignment="1" applyProtection="1">
      <alignment horizontal="centerContinuous" vertical="center" shrinkToFit="1"/>
      <protection hidden="1"/>
    </xf>
    <xf numFmtId="43" fontId="9" fillId="0" borderId="3" xfId="1" applyFont="1" applyBorder="1" applyAlignment="1" applyProtection="1">
      <alignment horizontal="centerContinuous" vertical="center" shrinkToFit="1"/>
      <protection hidden="1"/>
    </xf>
    <xf numFmtId="43" fontId="9" fillId="0" borderId="4" xfId="1" applyFont="1" applyBorder="1" applyAlignment="1" applyProtection="1">
      <alignment horizontal="centerContinuous" vertical="center" shrinkToFit="1"/>
      <protection hidden="1"/>
    </xf>
    <xf numFmtId="0" fontId="9" fillId="0" borderId="2" xfId="0" applyFont="1" applyBorder="1" applyAlignment="1" applyProtection="1">
      <alignment vertical="center" shrinkToFit="1"/>
      <protection hidden="1"/>
    </xf>
    <xf numFmtId="0" fontId="9" fillId="0" borderId="3" xfId="0" applyFont="1" applyBorder="1" applyAlignment="1" applyProtection="1">
      <alignment vertical="center" shrinkToFit="1"/>
      <protection hidden="1"/>
    </xf>
    <xf numFmtId="0" fontId="9" fillId="0" borderId="4" xfId="0" applyFont="1" applyBorder="1" applyAlignment="1" applyProtection="1">
      <alignment vertical="center" shrinkToFit="1"/>
      <protection hidden="1"/>
    </xf>
    <xf numFmtId="0" fontId="4" fillId="0" borderId="0" xfId="0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6" fillId="4" borderId="0" xfId="0" applyFont="1" applyFill="1" applyProtection="1"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16" fillId="4" borderId="0" xfId="0" applyFont="1" applyFill="1" applyAlignment="1" applyProtection="1">
      <alignment vertical="center"/>
      <protection hidden="1"/>
    </xf>
    <xf numFmtId="10" fontId="3" fillId="4" borderId="0" xfId="2" applyNumberFormat="1" applyFont="1" applyFill="1" applyBorder="1" applyAlignment="1" applyProtection="1">
      <alignment vertical="center"/>
      <protection hidden="1"/>
    </xf>
    <xf numFmtId="14" fontId="3" fillId="4" borderId="0" xfId="0" applyNumberFormat="1" applyFont="1" applyFill="1" applyAlignment="1" applyProtection="1">
      <alignment vertical="center"/>
      <protection hidden="1"/>
    </xf>
    <xf numFmtId="14" fontId="3" fillId="4" borderId="0" xfId="0" applyNumberFormat="1" applyFont="1" applyFill="1" applyProtection="1">
      <protection hidden="1"/>
    </xf>
    <xf numFmtId="43" fontId="3" fillId="4" borderId="0" xfId="0" applyNumberFormat="1" applyFont="1" applyFill="1" applyProtection="1">
      <protection hidden="1"/>
    </xf>
    <xf numFmtId="10" fontId="16" fillId="4" borderId="0" xfId="2" applyNumberFormat="1" applyFont="1" applyFill="1" applyBorder="1" applyProtection="1">
      <protection hidden="1"/>
    </xf>
    <xf numFmtId="0" fontId="4" fillId="4" borderId="0" xfId="0" applyFont="1" applyFill="1" applyAlignment="1" applyProtection="1">
      <alignment vertical="center"/>
      <protection hidden="1"/>
    </xf>
    <xf numFmtId="43" fontId="9" fillId="4" borderId="0" xfId="1" applyFont="1" applyFill="1" applyBorder="1" applyAlignment="1" applyProtection="1">
      <alignment horizontal="centerContinuous" vertical="center" shrinkToFit="1"/>
      <protection hidden="1"/>
    </xf>
    <xf numFmtId="0" fontId="0" fillId="4" borderId="0" xfId="0" applyFill="1" applyProtection="1">
      <protection hidden="1"/>
    </xf>
    <xf numFmtId="168" fontId="12" fillId="3" borderId="2" xfId="1" applyNumberFormat="1" applyFont="1" applyFill="1" applyBorder="1" applyAlignment="1" applyProtection="1">
      <alignment horizontal="centerContinuous" vertical="center" shrinkToFit="1"/>
      <protection locked="0" hidden="1"/>
    </xf>
    <xf numFmtId="168" fontId="12" fillId="3" borderId="3" xfId="1" applyNumberFormat="1" applyFont="1" applyFill="1" applyBorder="1" applyAlignment="1" applyProtection="1">
      <alignment horizontal="centerContinuous" vertical="center" shrinkToFit="1"/>
      <protection locked="0" hidden="1"/>
    </xf>
    <xf numFmtId="168" fontId="12" fillId="3" borderId="4" xfId="1" applyNumberFormat="1" applyFont="1" applyFill="1" applyBorder="1" applyAlignment="1" applyProtection="1">
      <alignment horizontal="centerContinuous" vertical="center" shrinkToFit="1"/>
      <protection locked="0" hidden="1"/>
    </xf>
    <xf numFmtId="0" fontId="8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4" fillId="4" borderId="5" xfId="0" applyFont="1" applyFill="1" applyBorder="1" applyAlignment="1" applyProtection="1">
      <alignment vertical="center"/>
      <protection hidden="1"/>
    </xf>
    <xf numFmtId="43" fontId="9" fillId="4" borderId="5" xfId="1" applyFont="1" applyFill="1" applyBorder="1" applyAlignment="1" applyProtection="1">
      <alignment horizontal="centerContinuous" vertical="center" shrinkToFi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43" fontId="9" fillId="0" borderId="2" xfId="1" applyFont="1" applyBorder="1" applyAlignment="1" applyProtection="1">
      <alignment horizontal="center" vertical="center"/>
      <protection hidden="1"/>
    </xf>
    <xf numFmtId="43" fontId="9" fillId="0" borderId="3" xfId="1" applyFont="1" applyBorder="1" applyAlignment="1" applyProtection="1">
      <alignment horizontal="center" vertical="center"/>
      <protection hidden="1"/>
    </xf>
    <xf numFmtId="43" fontId="9" fillId="0" borderId="4" xfId="1" applyFont="1" applyBorder="1" applyAlignment="1" applyProtection="1">
      <alignment horizontal="center" vertical="center"/>
      <protection hidden="1"/>
    </xf>
    <xf numFmtId="10" fontId="5" fillId="0" borderId="0" xfId="2" applyNumberFormat="1" applyFont="1" applyBorder="1" applyAlignment="1" applyProtection="1">
      <alignment horizontal="center"/>
      <protection hidden="1"/>
    </xf>
    <xf numFmtId="14" fontId="9" fillId="0" borderId="2" xfId="0" applyNumberFormat="1" applyFont="1" applyBorder="1" applyAlignment="1" applyProtection="1">
      <alignment horizontal="center" vertical="center"/>
      <protection hidden="1"/>
    </xf>
    <xf numFmtId="14" fontId="9" fillId="0" borderId="3" xfId="0" applyNumberFormat="1" applyFont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12" fillId="3" borderId="0" xfId="0" applyFont="1" applyFill="1" applyAlignment="1" applyProtection="1">
      <alignment horizontal="center" vertical="center"/>
      <protection hidden="1"/>
    </xf>
    <xf numFmtId="14" fontId="12" fillId="3" borderId="2" xfId="0" applyNumberFormat="1" applyFont="1" applyFill="1" applyBorder="1" applyAlignment="1" applyProtection="1">
      <alignment horizontal="center" vertical="center"/>
      <protection locked="0" hidden="1"/>
    </xf>
    <xf numFmtId="14" fontId="12" fillId="3" borderId="3" xfId="0" applyNumberFormat="1" applyFont="1" applyFill="1" applyBorder="1" applyAlignment="1" applyProtection="1">
      <alignment horizontal="center" vertical="center"/>
      <protection locked="0" hidden="1"/>
    </xf>
    <xf numFmtId="14" fontId="12" fillId="3" borderId="4" xfId="0" applyNumberFormat="1" applyFont="1" applyFill="1" applyBorder="1" applyAlignment="1" applyProtection="1">
      <alignment horizontal="center" vertical="center"/>
      <protection locked="0" hidden="1"/>
    </xf>
    <xf numFmtId="43" fontId="12" fillId="3" borderId="2" xfId="1" applyFont="1" applyFill="1" applyBorder="1" applyAlignment="1" applyProtection="1">
      <alignment horizontal="center" vertical="center" shrinkToFit="1"/>
      <protection locked="0" hidden="1"/>
    </xf>
    <xf numFmtId="43" fontId="12" fillId="3" borderId="3" xfId="1" applyFont="1" applyFill="1" applyBorder="1" applyAlignment="1" applyProtection="1">
      <alignment horizontal="center" vertical="center" shrinkToFit="1"/>
      <protection locked="0" hidden="1"/>
    </xf>
    <xf numFmtId="43" fontId="12" fillId="3" borderId="4" xfId="1" applyFont="1" applyFill="1" applyBorder="1" applyAlignment="1" applyProtection="1">
      <alignment horizontal="center" vertical="center" shrinkToFit="1"/>
      <protection locked="0" hidden="1"/>
    </xf>
    <xf numFmtId="167" fontId="12" fillId="3" borderId="2" xfId="1" applyNumberFormat="1" applyFont="1" applyFill="1" applyBorder="1" applyAlignment="1" applyProtection="1">
      <alignment horizontal="center" vertical="center" shrinkToFit="1"/>
      <protection locked="0" hidden="1"/>
    </xf>
    <xf numFmtId="167" fontId="12" fillId="3" borderId="3" xfId="1" applyNumberFormat="1" applyFont="1" applyFill="1" applyBorder="1" applyAlignment="1" applyProtection="1">
      <alignment horizontal="center" vertical="center" shrinkToFit="1"/>
      <protection locked="0" hidden="1"/>
    </xf>
    <xf numFmtId="167" fontId="12" fillId="3" borderId="4" xfId="1" applyNumberFormat="1" applyFont="1" applyFill="1" applyBorder="1" applyAlignment="1" applyProtection="1">
      <alignment horizontal="center" vertical="center" shrinkToFit="1"/>
      <protection locked="0" hidden="1"/>
    </xf>
    <xf numFmtId="43" fontId="9" fillId="0" borderId="2" xfId="1" applyFont="1" applyBorder="1" applyAlignment="1" applyProtection="1">
      <alignment horizontal="center" vertical="center" shrinkToFit="1"/>
      <protection hidden="1"/>
    </xf>
    <xf numFmtId="43" fontId="9" fillId="0" borderId="3" xfId="1" applyFont="1" applyBorder="1" applyAlignment="1" applyProtection="1">
      <alignment horizontal="center" vertical="center" shrinkToFit="1"/>
      <protection hidden="1"/>
    </xf>
    <xf numFmtId="43" fontId="9" fillId="0" borderId="4" xfId="1" applyFont="1" applyBorder="1" applyAlignment="1" applyProtection="1">
      <alignment horizontal="center" vertical="center" shrinkToFit="1"/>
      <protection hidden="1"/>
    </xf>
    <xf numFmtId="0" fontId="2" fillId="0" borderId="0" xfId="0" applyFont="1" applyAlignment="1" applyProtection="1">
      <alignment horizontal="center" vertical="center" textRotation="90"/>
      <protection hidden="1"/>
    </xf>
    <xf numFmtId="14" fontId="9" fillId="0" borderId="4" xfId="0" applyNumberFormat="1" applyFont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14" fontId="0" fillId="0" borderId="0" xfId="0" applyNumberFormat="1" applyAlignment="1" applyProtection="1">
      <alignment horizontal="center"/>
      <protection hidden="1"/>
    </xf>
    <xf numFmtId="10" fontId="14" fillId="0" borderId="0" xfId="2" applyNumberFormat="1" applyFont="1" applyBorder="1" applyAlignment="1" applyProtection="1">
      <alignment horizontal="center"/>
      <protection hidden="1"/>
    </xf>
  </cellXfs>
  <cellStyles count="4">
    <cellStyle name="Normal" xfId="0" builtinId="0"/>
    <cellStyle name="Porcentagem" xfId="2" builtinId="5"/>
    <cellStyle name="Total" xfId="3" builtinId="2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101768</xdr:colOff>
      <xdr:row>0</xdr:row>
      <xdr:rowOff>95500</xdr:rowOff>
    </xdr:from>
    <xdr:ext cx="1057655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B49230FF-D833-436A-9B76-A29014B97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68" y="95500"/>
          <a:ext cx="1057655" cy="5619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101768</xdr:colOff>
      <xdr:row>0</xdr:row>
      <xdr:rowOff>95500</xdr:rowOff>
    </xdr:from>
    <xdr:ext cx="1057655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3A9973C5-A97C-4F18-952C-B23B7A705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68" y="95500"/>
          <a:ext cx="1057655" cy="5619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8762-6113-4680-ACA3-A745DD90C4C9}">
  <sheetPr>
    <pageSetUpPr fitToPage="1"/>
  </sheetPr>
  <dimension ref="B2:DW42"/>
  <sheetViews>
    <sheetView showGridLines="0" tabSelected="1" zoomScale="120" zoomScaleNormal="120" workbookViewId="0">
      <selection activeCell="H23" sqref="H23"/>
    </sheetView>
  </sheetViews>
  <sheetFormatPr defaultRowHeight="15" x14ac:dyDescent="0.25"/>
  <cols>
    <col min="1" max="31" width="2.7109375" style="1" customWidth="1"/>
    <col min="32" max="32" width="3.7109375" style="1" customWidth="1"/>
    <col min="33" max="40" width="2.7109375" style="1" customWidth="1"/>
    <col min="41" max="41" width="2.7109375" style="51" customWidth="1"/>
    <col min="42" max="52" width="3.140625" style="53" customWidth="1"/>
    <col min="53" max="97" width="3.140625" style="31" hidden="1" customWidth="1"/>
    <col min="98" max="98" width="2.7109375" style="70" hidden="1" customWidth="1"/>
    <col min="99" max="99" width="6.5703125" style="70" hidden="1" customWidth="1"/>
    <col min="100" max="100" width="13.5703125" style="31" hidden="1" customWidth="1"/>
    <col min="101" max="105" width="2.7109375" style="31" hidden="1" customWidth="1"/>
    <col min="106" max="106" width="29.7109375" style="31" hidden="1" customWidth="1"/>
    <col min="107" max="107" width="2.7109375" style="31" hidden="1" customWidth="1"/>
    <col min="108" max="108" width="9.140625" style="31" hidden="1" customWidth="1"/>
    <col min="109" max="110" width="9.140625" style="37" hidden="1" customWidth="1"/>
    <col min="111" max="112" width="9.140625" style="31" hidden="1" customWidth="1"/>
    <col min="113" max="113" width="16.85546875" style="31" hidden="1" customWidth="1"/>
    <col min="114" max="116" width="9.140625" style="31" hidden="1" customWidth="1"/>
    <col min="117" max="117" width="9.140625" style="53" customWidth="1"/>
    <col min="118" max="122" width="9.140625" style="51" customWidth="1"/>
    <col min="123" max="123" width="9.140625" style="29" customWidth="1"/>
    <col min="124" max="124" width="9.140625" style="51" customWidth="1"/>
    <col min="125" max="127" width="9.140625" style="51"/>
    <col min="128" max="16384" width="9.140625" style="1"/>
  </cols>
  <sheetData>
    <row r="2" spans="2:127" x14ac:dyDescent="0.25">
      <c r="J2" s="85" t="s">
        <v>14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2:127" ht="15.75" x14ac:dyDescent="0.25">
      <c r="H3" s="84" t="s">
        <v>33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DD3" s="38">
        <v>2026</v>
      </c>
    </row>
    <row r="4" spans="2:127" x14ac:dyDescent="0.25">
      <c r="DD4" s="32" t="s">
        <v>2</v>
      </c>
      <c r="DE4" s="39" t="s">
        <v>6</v>
      </c>
      <c r="DF4" s="39" t="s">
        <v>3</v>
      </c>
      <c r="DG4" s="32" t="s">
        <v>7</v>
      </c>
      <c r="DH4" s="32"/>
      <c r="DI4" s="32" t="s">
        <v>1</v>
      </c>
    </row>
    <row r="5" spans="2:127" s="5" customFormat="1" ht="24.95" customHeight="1" x14ac:dyDescent="0.25">
      <c r="D5" s="6" t="s">
        <v>19</v>
      </c>
      <c r="E5" s="7"/>
      <c r="F5" s="7"/>
      <c r="G5" s="7"/>
      <c r="H5" s="7"/>
      <c r="I5" s="7"/>
      <c r="J5" s="7"/>
      <c r="K5" s="7"/>
      <c r="L5" s="7"/>
      <c r="M5" s="8"/>
      <c r="N5" s="6" t="s">
        <v>0</v>
      </c>
      <c r="O5" s="7"/>
      <c r="P5" s="7"/>
      <c r="Q5" s="7"/>
      <c r="R5" s="7"/>
      <c r="S5" s="7"/>
      <c r="T5" s="7"/>
      <c r="U5" s="7"/>
      <c r="V5" s="7"/>
      <c r="W5" s="8"/>
      <c r="X5" s="6" t="s">
        <v>22</v>
      </c>
      <c r="Y5" s="7"/>
      <c r="Z5" s="7"/>
      <c r="AA5" s="7"/>
      <c r="AB5" s="8"/>
      <c r="AC5" s="88" t="s">
        <v>23</v>
      </c>
      <c r="AD5" s="89"/>
      <c r="AE5" s="89"/>
      <c r="AF5" s="89"/>
      <c r="AG5" s="90"/>
      <c r="AH5" s="68"/>
      <c r="AI5" s="68"/>
      <c r="AJ5" s="68"/>
      <c r="AK5" s="68"/>
      <c r="AL5" s="68"/>
      <c r="AM5" s="68"/>
      <c r="AN5" s="68"/>
      <c r="AO5" s="69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71" t="s">
        <v>10</v>
      </c>
      <c r="CV5" s="33"/>
      <c r="CW5" s="33"/>
      <c r="CX5" s="33"/>
      <c r="CY5" s="33"/>
      <c r="CZ5" s="33"/>
      <c r="DA5" s="33"/>
      <c r="DB5" s="33"/>
      <c r="DC5" s="33"/>
      <c r="DD5" s="32">
        <v>1</v>
      </c>
      <c r="DE5" s="40" t="s">
        <v>20</v>
      </c>
      <c r="DF5" s="41">
        <v>7.4999999999999997E-3</v>
      </c>
      <c r="DG5" s="32"/>
      <c r="DH5" s="32"/>
      <c r="DI5" s="34">
        <v>8113.22</v>
      </c>
      <c r="DJ5" s="33"/>
      <c r="DK5" s="33"/>
      <c r="DL5" s="33"/>
      <c r="DM5" s="55"/>
      <c r="DN5" s="56"/>
      <c r="DO5" s="56"/>
      <c r="DP5" s="56"/>
      <c r="DQ5" s="56"/>
      <c r="DR5" s="56"/>
      <c r="DS5" s="49"/>
      <c r="DT5" s="56"/>
      <c r="DU5" s="56"/>
      <c r="DV5" s="56"/>
      <c r="DW5" s="56"/>
    </row>
    <row r="6" spans="2:127" s="3" customFormat="1" ht="24.95" customHeight="1" x14ac:dyDescent="0.25">
      <c r="D6" s="103">
        <v>46271</v>
      </c>
      <c r="E6" s="104"/>
      <c r="F6" s="104"/>
      <c r="G6" s="104"/>
      <c r="H6" s="104"/>
      <c r="I6" s="104"/>
      <c r="J6" s="104"/>
      <c r="K6" s="104"/>
      <c r="L6" s="104"/>
      <c r="M6" s="105"/>
      <c r="N6" s="106">
        <v>316189.96999999997</v>
      </c>
      <c r="O6" s="107"/>
      <c r="P6" s="107"/>
      <c r="Q6" s="107"/>
      <c r="R6" s="107"/>
      <c r="S6" s="107"/>
      <c r="T6" s="107"/>
      <c r="U6" s="107"/>
      <c r="V6" s="107"/>
      <c r="W6" s="108"/>
      <c r="X6" s="109">
        <v>31.55</v>
      </c>
      <c r="Y6" s="110"/>
      <c r="Z6" s="110"/>
      <c r="AA6" s="110"/>
      <c r="AB6" s="111"/>
      <c r="AC6" s="109">
        <v>1111</v>
      </c>
      <c r="AD6" s="110"/>
      <c r="AE6" s="110"/>
      <c r="AF6" s="110"/>
      <c r="AG6" s="111"/>
      <c r="AH6" s="102"/>
      <c r="AI6" s="102"/>
      <c r="AJ6" s="102"/>
      <c r="AK6" s="102"/>
      <c r="AL6" s="102"/>
      <c r="AM6" s="102"/>
      <c r="AN6" s="102"/>
      <c r="AO6" s="102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72"/>
      <c r="CU6" s="72">
        <v>6</v>
      </c>
      <c r="CV6" s="73"/>
      <c r="CW6" s="35"/>
      <c r="CX6" s="35"/>
      <c r="CY6" s="35"/>
      <c r="CZ6" s="35"/>
      <c r="DA6" s="35"/>
      <c r="DB6" s="74"/>
      <c r="DC6" s="35"/>
      <c r="DD6" s="32">
        <v>2</v>
      </c>
      <c r="DE6" s="40" t="str">
        <f t="shared" ref="DE6:DE14" si="0">DE5</f>
        <v>06</v>
      </c>
      <c r="DF6" s="41">
        <v>1.4999999999999999E-2</v>
      </c>
      <c r="DG6" s="32"/>
      <c r="DH6" s="32"/>
      <c r="DI6" s="34">
        <f t="shared" ref="DI6:DI14" si="1">DI5</f>
        <v>8113.22</v>
      </c>
      <c r="DJ6" s="35"/>
      <c r="DK6" s="35"/>
      <c r="DL6" s="35"/>
      <c r="DM6" s="57"/>
      <c r="DN6" s="58"/>
      <c r="DO6" s="58"/>
      <c r="DP6" s="58"/>
      <c r="DQ6" s="58"/>
      <c r="DR6" s="58"/>
      <c r="DS6" s="50"/>
      <c r="DT6" s="58"/>
      <c r="DU6" s="58"/>
      <c r="DV6" s="58"/>
      <c r="DW6" s="58"/>
    </row>
    <row r="7" spans="2:127" s="29" customFormat="1" x14ac:dyDescent="0.25">
      <c r="N7" s="29">
        <f>IF(AC6=0,0,N6/AC6)</f>
        <v>284.59943294329429</v>
      </c>
      <c r="AG7" s="61"/>
      <c r="AH7" s="97" cm="1">
        <f t="array" ref="AH7">IF($G$10="TAB06",_xlfn.XLOOKUP(AH6,DD$24:DD$26,DH$24:DH$26,0),IF($N$7&lt;=$DI$28,_xlfn.XLOOKUP(AH6,DD$28:DD$30,DH$28:DH$30,0),IF($N$7&lt;=$DI$32,_xlfn.XLOOKUP(AH6,$DD$32:$DD$34,DH$32:DH34,0),_xlfn.XLOOKUP(AH6,DD36:DD38,DH36:DH38,0))))-IF(AH6&lt;&gt;"-",IF(AH6&lt;&gt;"",CU11,0),0)*IF(N6&lt;=0,0,1)</f>
        <v>0</v>
      </c>
      <c r="AI7" s="97"/>
      <c r="AJ7" s="97"/>
      <c r="AK7" s="97"/>
      <c r="AL7" s="97"/>
      <c r="AM7" s="97"/>
      <c r="AN7" s="97"/>
      <c r="AO7" s="97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70"/>
      <c r="CU7" s="70">
        <v>12</v>
      </c>
      <c r="CV7" s="31"/>
      <c r="CW7" s="31"/>
      <c r="CX7" s="31"/>
      <c r="CY7" s="31"/>
      <c r="CZ7" s="31"/>
      <c r="DA7" s="31"/>
      <c r="DB7" s="75"/>
      <c r="DC7" s="31"/>
      <c r="DD7" s="32">
        <v>3</v>
      </c>
      <c r="DE7" s="40" t="str">
        <f t="shared" si="0"/>
        <v>06</v>
      </c>
      <c r="DF7" s="41">
        <v>2.2499999999999999E-2</v>
      </c>
      <c r="DG7" s="32"/>
      <c r="DH7" s="32"/>
      <c r="DI7" s="34">
        <f t="shared" si="1"/>
        <v>8113.22</v>
      </c>
      <c r="DJ7" s="31"/>
      <c r="DK7" s="31"/>
      <c r="DL7" s="31"/>
      <c r="DM7" s="53"/>
      <c r="DN7" s="51"/>
      <c r="DO7" s="51"/>
      <c r="DP7" s="51"/>
      <c r="DQ7" s="51"/>
      <c r="DR7" s="51"/>
    </row>
    <row r="8" spans="2:127" x14ac:dyDescent="0.25">
      <c r="B8" s="2" t="s">
        <v>15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H8" s="17"/>
      <c r="AI8" s="17"/>
      <c r="AJ8" s="17"/>
      <c r="AK8" s="17"/>
      <c r="AL8" s="17"/>
      <c r="AM8" s="17"/>
      <c r="AN8" s="17"/>
      <c r="CU8" s="70">
        <v>24</v>
      </c>
      <c r="CV8" s="76">
        <f>AH6</f>
        <v>0</v>
      </c>
      <c r="DD8" s="32">
        <v>4</v>
      </c>
      <c r="DE8" s="40" t="str">
        <f t="shared" si="0"/>
        <v>06</v>
      </c>
      <c r="DF8" s="41">
        <f t="shared" ref="DF8:DF14" si="2">DF7+$DF$7</f>
        <v>4.4999999999999998E-2</v>
      </c>
      <c r="DG8" s="32"/>
      <c r="DH8" s="32"/>
      <c r="DI8" s="34">
        <f t="shared" si="1"/>
        <v>8113.22</v>
      </c>
    </row>
    <row r="9" spans="2:127" x14ac:dyDescent="0.25">
      <c r="D9" s="1" t="s">
        <v>29</v>
      </c>
      <c r="AF9" s="27"/>
      <c r="AG9" s="26"/>
      <c r="CU9" s="70" t="s">
        <v>12</v>
      </c>
      <c r="DD9" s="32">
        <v>5</v>
      </c>
      <c r="DE9" s="40" t="str">
        <f t="shared" si="0"/>
        <v>06</v>
      </c>
      <c r="DF9" s="41">
        <f t="shared" si="2"/>
        <v>6.7500000000000004E-2</v>
      </c>
      <c r="DG9" s="32"/>
      <c r="DH9" s="32"/>
      <c r="DI9" s="34">
        <f t="shared" si="1"/>
        <v>8113.22</v>
      </c>
    </row>
    <row r="10" spans="2:127" s="5" customFormat="1" ht="20.100000000000001" customHeight="1" x14ac:dyDescent="0.25">
      <c r="B10" s="4"/>
      <c r="D10" s="11" t="s">
        <v>16</v>
      </c>
      <c r="E10" s="9"/>
      <c r="F10" s="10"/>
      <c r="G10" s="11" t="str">
        <f>IF($N$7&gt;IMPORTACAO!$DI$5,"TAB10","TAB06")</f>
        <v>TAB06</v>
      </c>
      <c r="H10" s="9"/>
      <c r="I10" s="9"/>
      <c r="J10" s="10"/>
      <c r="K10" s="11" t="str">
        <f>IF($N$7&gt;IMPORTACAO!$DI$5,"-","TAB07")</f>
        <v>TAB07</v>
      </c>
      <c r="L10" s="9"/>
      <c r="M10" s="9"/>
      <c r="N10" s="10"/>
      <c r="O10" s="30" t="str">
        <f>IF($AH$6&gt;0,"TAB EXPRESSA","-")</f>
        <v>-</v>
      </c>
      <c r="P10" s="9"/>
      <c r="Q10" s="9"/>
      <c r="R10" s="10"/>
      <c r="S10" s="91" t="s">
        <v>10</v>
      </c>
      <c r="T10" s="92"/>
      <c r="U10" s="92"/>
      <c r="V10" s="93"/>
      <c r="W10" s="91" t="s">
        <v>17</v>
      </c>
      <c r="X10" s="92"/>
      <c r="Y10" s="92"/>
      <c r="Z10" s="92"/>
      <c r="AA10" s="93"/>
      <c r="AB10" s="100" t="s">
        <v>18</v>
      </c>
      <c r="AC10" s="101"/>
      <c r="AD10" s="101"/>
      <c r="AE10" s="101"/>
      <c r="AF10" s="101"/>
      <c r="AG10" s="86"/>
      <c r="AH10" s="78"/>
      <c r="AI10" s="78"/>
      <c r="AJ10" s="78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 t="s">
        <v>13</v>
      </c>
      <c r="CV10" s="33"/>
      <c r="CW10" s="33"/>
      <c r="CX10" s="33"/>
      <c r="CY10" s="33"/>
      <c r="CZ10" s="33"/>
      <c r="DA10" s="33"/>
      <c r="DB10" s="33"/>
      <c r="DC10" s="33"/>
      <c r="DD10" s="32">
        <v>6</v>
      </c>
      <c r="DE10" s="40" t="str">
        <f t="shared" si="0"/>
        <v>06</v>
      </c>
      <c r="DF10" s="41">
        <f t="shared" si="2"/>
        <v>0.09</v>
      </c>
      <c r="DG10" s="32"/>
      <c r="DH10" s="32"/>
      <c r="DI10" s="34">
        <f t="shared" si="1"/>
        <v>8113.22</v>
      </c>
      <c r="DJ10" s="33"/>
      <c r="DK10" s="33"/>
      <c r="DL10" s="33"/>
      <c r="DM10" s="55"/>
      <c r="DN10" s="56"/>
      <c r="DO10" s="56"/>
      <c r="DP10" s="56"/>
      <c r="DQ10" s="56"/>
      <c r="DR10" s="56"/>
      <c r="DS10" s="49"/>
      <c r="DT10" s="56"/>
      <c r="DU10" s="56"/>
      <c r="DV10" s="56"/>
      <c r="DW10" s="56"/>
    </row>
    <row r="11" spans="2:127" x14ac:dyDescent="0.25">
      <c r="B11" s="115" t="s">
        <v>28</v>
      </c>
      <c r="D11" s="28" t="s">
        <v>4</v>
      </c>
      <c r="E11" s="18"/>
      <c r="F11" s="19"/>
      <c r="G11" s="112">
        <f t="shared" ref="G11:G20" si="3">ROUND($N$6*CU11,2)</f>
        <v>2371.42</v>
      </c>
      <c r="H11" s="113"/>
      <c r="I11" s="113"/>
      <c r="J11" s="114"/>
      <c r="K11" s="20">
        <f>ROUND(IF($K$10="TAB07",IF(($X$6*IMPORTACAO!$DF$16)&lt;IMPORTACAO!$DG$16,IMPORTACAO!$DG$16,$X$6*IMPORTACAO!$DF$16),0),2)*IF($X$6&lt;=0,0,1)</f>
        <v>22.03</v>
      </c>
      <c r="L11" s="21"/>
      <c r="M11" s="21"/>
      <c r="N11" s="22"/>
      <c r="O11" s="94"/>
      <c r="P11" s="95"/>
      <c r="Q11" s="95"/>
      <c r="R11" s="96"/>
      <c r="S11" s="23"/>
      <c r="T11" s="24"/>
      <c r="U11" s="24"/>
      <c r="V11" s="25"/>
      <c r="W11" s="62">
        <f>G11+K11+O11</f>
        <v>2393.4500000000003</v>
      </c>
      <c r="X11" s="63"/>
      <c r="Y11" s="63"/>
      <c r="Z11" s="63"/>
      <c r="AA11" s="64"/>
      <c r="AB11" s="98">
        <f>IF($G$10="TAB06",IF($D$6&gt;0,D6+1,""),IF($D$6&gt;0,D6+2,""))</f>
        <v>46272</v>
      </c>
      <c r="AC11" s="99"/>
      <c r="AD11" s="99"/>
      <c r="AE11" s="99"/>
      <c r="AF11" s="99"/>
      <c r="AG11" s="87"/>
      <c r="AH11" s="79"/>
      <c r="AI11" s="79"/>
      <c r="AJ11" s="79"/>
      <c r="CT11" s="70">
        <f>VALUE(D11)</f>
        <v>1</v>
      </c>
      <c r="CU11" s="77">
        <f>IF($G$10="TAB06",_xlfn.XLOOKUP(CT11,IMPORTACAO!$DD$5:$DD$14,IMPORTACAO!$DF$5:$DF$14),IF($N$7&lt;=IMPORTACAO!$DI$20,IMPORTACAO!$DF$20,IF($N$7&lt;=IMPORTACAO!$DI$21,IMPORTACAO!$DF$21,IMPORTACAO!$DF$22))*CT11)</f>
        <v>7.4999999999999997E-3</v>
      </c>
      <c r="DD11" s="32">
        <v>7</v>
      </c>
      <c r="DE11" s="40" t="str">
        <f t="shared" si="0"/>
        <v>06</v>
      </c>
      <c r="DF11" s="41">
        <f t="shared" si="2"/>
        <v>0.11249999999999999</v>
      </c>
      <c r="DG11" s="32"/>
      <c r="DH11" s="32"/>
      <c r="DI11" s="34">
        <f t="shared" si="1"/>
        <v>8113.22</v>
      </c>
    </row>
    <row r="12" spans="2:127" ht="15" customHeight="1" x14ac:dyDescent="0.25">
      <c r="B12" s="115"/>
      <c r="D12" s="28" t="s">
        <v>9</v>
      </c>
      <c r="E12" s="18"/>
      <c r="F12" s="19"/>
      <c r="G12" s="112">
        <f t="shared" si="3"/>
        <v>4742.8500000000004</v>
      </c>
      <c r="H12" s="113"/>
      <c r="I12" s="113"/>
      <c r="J12" s="114"/>
      <c r="K12" s="20">
        <f>ROUND(IF($K$10="TAB07",IF(($X$6*IMPORTACAO!$DF$16)&lt;IMPORTACAO!$DG$16,IMPORTACAO!$DG$16,$X$6*IMPORTACAO!$DF$16),0),2)*IF($X$6&lt;=0,0,1)</f>
        <v>22.03</v>
      </c>
      <c r="L12" s="21"/>
      <c r="M12" s="21"/>
      <c r="N12" s="22"/>
      <c r="O12" s="23"/>
      <c r="P12" s="24"/>
      <c r="Q12" s="24"/>
      <c r="R12" s="25"/>
      <c r="S12" s="23"/>
      <c r="T12" s="24"/>
      <c r="U12" s="24"/>
      <c r="V12" s="25"/>
      <c r="W12" s="62">
        <f t="shared" ref="W12:W20" si="4">G12+K12+O12</f>
        <v>4764.88</v>
      </c>
      <c r="X12" s="63"/>
      <c r="Y12" s="63"/>
      <c r="Z12" s="63"/>
      <c r="AA12" s="64"/>
      <c r="AB12" s="98">
        <f>IF($G$10="TAB06",IF($D$6&gt;0,AB11+3,""),IF($D$6&gt;0,AB11+3,""))</f>
        <v>46275</v>
      </c>
      <c r="AC12" s="99"/>
      <c r="AD12" s="99"/>
      <c r="AE12" s="99"/>
      <c r="AF12" s="99"/>
      <c r="AG12" s="87"/>
      <c r="AH12" s="79"/>
      <c r="AI12" s="79"/>
      <c r="AJ12" s="79"/>
      <c r="CT12" s="70">
        <f t="shared" ref="CT12:CT20" si="5">VALUE(D12)</f>
        <v>2</v>
      </c>
      <c r="CU12" s="77">
        <f>IF($G$10="TAB06",_xlfn.XLOOKUP(CT12,IMPORTACAO!$DD$5:$DD$14,IMPORTACAO!$DF$5:$DF$14),IF($N$7&lt;=IMPORTACAO!$DI$20,IMPORTACAO!$DF$20,IF($N$7&lt;=IMPORTACAO!$DI$21,IMPORTACAO!$DF$21,IMPORTACAO!$DF$22))*CT12)</f>
        <v>1.4999999999999999E-2</v>
      </c>
      <c r="DD12" s="32">
        <v>8</v>
      </c>
      <c r="DE12" s="40" t="str">
        <f t="shared" si="0"/>
        <v>06</v>
      </c>
      <c r="DF12" s="41">
        <f t="shared" si="2"/>
        <v>0.13499999999999998</v>
      </c>
      <c r="DG12" s="32"/>
      <c r="DH12" s="32"/>
      <c r="DI12" s="34">
        <f t="shared" si="1"/>
        <v>8113.22</v>
      </c>
    </row>
    <row r="13" spans="2:127" x14ac:dyDescent="0.25">
      <c r="B13" s="115"/>
      <c r="D13" s="28" t="s">
        <v>24</v>
      </c>
      <c r="E13" s="18"/>
      <c r="F13" s="19"/>
      <c r="G13" s="112">
        <f t="shared" si="3"/>
        <v>7114.27</v>
      </c>
      <c r="H13" s="113"/>
      <c r="I13" s="113"/>
      <c r="J13" s="114"/>
      <c r="K13" s="20">
        <f>ROUND(IF($K$10="TAB07",IF(($X$6*IMPORTACAO!$DF$16)&lt;IMPORTACAO!$DG$16,IMPORTACAO!$DG$16,$X$6*IMPORTACAO!$DF$16),0),2)*IF($X$6&lt;=0,0,1)</f>
        <v>22.03</v>
      </c>
      <c r="L13" s="21"/>
      <c r="M13" s="21"/>
      <c r="N13" s="22"/>
      <c r="O13" s="23"/>
      <c r="P13" s="24"/>
      <c r="Q13" s="24"/>
      <c r="R13" s="25"/>
      <c r="S13" s="23"/>
      <c r="T13" s="24"/>
      <c r="U13" s="24"/>
      <c r="V13" s="25"/>
      <c r="W13" s="62">
        <f t="shared" si="4"/>
        <v>7136.3</v>
      </c>
      <c r="X13" s="63"/>
      <c r="Y13" s="63"/>
      <c r="Z13" s="63"/>
      <c r="AA13" s="64"/>
      <c r="AB13" s="98">
        <f>IF($G$10="TAB06",IF($D$6&gt;0,AB12+5,""),IF($D$6&gt;0,AB12+3,""))</f>
        <v>46280</v>
      </c>
      <c r="AC13" s="99"/>
      <c r="AD13" s="99"/>
      <c r="AE13" s="99"/>
      <c r="AF13" s="99"/>
      <c r="AG13" s="87"/>
      <c r="AH13" s="79"/>
      <c r="AI13" s="79"/>
      <c r="AJ13" s="79"/>
      <c r="CT13" s="70">
        <f t="shared" si="5"/>
        <v>3</v>
      </c>
      <c r="CU13" s="77">
        <f>IF($G$10="TAB06",_xlfn.XLOOKUP(CT13,IMPORTACAO!$DD$5:$DD$14,IMPORTACAO!$DF$5:$DF$14),IF($N$7&lt;=IMPORTACAO!$DI$20,IMPORTACAO!$DF$20,IF($N$7&lt;=IMPORTACAO!$DI$21,IMPORTACAO!$DF$21,IMPORTACAO!$DF$22))*CT13)</f>
        <v>2.2499999999999999E-2</v>
      </c>
      <c r="DD13" s="32">
        <v>9</v>
      </c>
      <c r="DE13" s="40" t="str">
        <f t="shared" si="0"/>
        <v>06</v>
      </c>
      <c r="DF13" s="41">
        <f t="shared" si="2"/>
        <v>0.15749999999999997</v>
      </c>
      <c r="DG13" s="32"/>
      <c r="DH13" s="32"/>
      <c r="DI13" s="34">
        <f t="shared" si="1"/>
        <v>8113.22</v>
      </c>
    </row>
    <row r="14" spans="2:127" x14ac:dyDescent="0.25">
      <c r="B14" s="115"/>
      <c r="D14" s="28" t="s">
        <v>8</v>
      </c>
      <c r="E14" s="18"/>
      <c r="F14" s="19"/>
      <c r="G14" s="112">
        <f t="shared" si="3"/>
        <v>14228.55</v>
      </c>
      <c r="H14" s="113"/>
      <c r="I14" s="113"/>
      <c r="J14" s="114"/>
      <c r="K14" s="20">
        <f>ROUND(IF($K$10="TAB07",IF(($X$6*IMPORTACAO!$DF$16)&lt;IMPORTACAO!$DG$16,IMPORTACAO!$DG$16,$X$6*IMPORTACAO!$DF$16),0),2)*IF($X$6&lt;=0,0,1)</f>
        <v>22.03</v>
      </c>
      <c r="L14" s="21"/>
      <c r="M14" s="21"/>
      <c r="N14" s="22"/>
      <c r="O14" s="23"/>
      <c r="P14" s="24"/>
      <c r="Q14" s="24"/>
      <c r="R14" s="25"/>
      <c r="S14" s="23"/>
      <c r="T14" s="24"/>
      <c r="U14" s="24"/>
      <c r="V14" s="25"/>
      <c r="W14" s="62">
        <f t="shared" si="4"/>
        <v>14250.58</v>
      </c>
      <c r="X14" s="63"/>
      <c r="Y14" s="63"/>
      <c r="Z14" s="63"/>
      <c r="AA14" s="64"/>
      <c r="AB14" s="98">
        <f t="shared" ref="AB14:AB20" si="6">IF($G$10="TAB06",IF($D$6&gt;0,AB13+10,""),IF($D$6&gt;0,AB13+3,""))</f>
        <v>46290</v>
      </c>
      <c r="AC14" s="99"/>
      <c r="AD14" s="99"/>
      <c r="AE14" s="99"/>
      <c r="AF14" s="99"/>
      <c r="AG14" s="87"/>
      <c r="AH14" s="79"/>
      <c r="AI14" s="79"/>
      <c r="AJ14" s="79"/>
      <c r="CT14" s="70">
        <f t="shared" si="5"/>
        <v>4</v>
      </c>
      <c r="CU14" s="77">
        <f>IF($G$10="TAB06",_xlfn.XLOOKUP(CT14,IMPORTACAO!$DD$5:$DD$14,IMPORTACAO!$DF$5:$DF$14),IF($N$7&lt;=IMPORTACAO!$DI$20,IMPORTACAO!$DF$20,IF($N$7&lt;=IMPORTACAO!$DI$21,IMPORTACAO!$DF$21,IMPORTACAO!$DF$22))*CT14)</f>
        <v>4.4999999999999998E-2</v>
      </c>
      <c r="DD14" s="32">
        <v>10</v>
      </c>
      <c r="DE14" s="40" t="str">
        <f t="shared" si="0"/>
        <v>06</v>
      </c>
      <c r="DF14" s="41">
        <f t="shared" si="2"/>
        <v>0.17999999999999997</v>
      </c>
      <c r="DG14" s="32"/>
      <c r="DH14" s="32"/>
      <c r="DI14" s="34">
        <f t="shared" si="1"/>
        <v>8113.22</v>
      </c>
    </row>
    <row r="15" spans="2:127" x14ac:dyDescent="0.25">
      <c r="B15" s="115"/>
      <c r="D15" s="28" t="s">
        <v>5</v>
      </c>
      <c r="E15" s="18"/>
      <c r="F15" s="19"/>
      <c r="G15" s="112">
        <f t="shared" si="3"/>
        <v>21342.82</v>
      </c>
      <c r="H15" s="113"/>
      <c r="I15" s="113"/>
      <c r="J15" s="114"/>
      <c r="K15" s="20">
        <f>ROUND(IF($K$10="TAB07",IF(($X$6*IMPORTACAO!$DF$16)&lt;IMPORTACAO!$DG$16,IMPORTACAO!$DG$16,$X$6*IMPORTACAO!$DF$16),0),2)*IF($X$6&lt;=0,0,1)</f>
        <v>22.03</v>
      </c>
      <c r="L15" s="21"/>
      <c r="M15" s="21"/>
      <c r="N15" s="22"/>
      <c r="O15" s="23"/>
      <c r="P15" s="24"/>
      <c r="Q15" s="24"/>
      <c r="R15" s="25"/>
      <c r="S15" s="23"/>
      <c r="T15" s="24"/>
      <c r="U15" s="24"/>
      <c r="V15" s="25"/>
      <c r="W15" s="62">
        <f t="shared" si="4"/>
        <v>21364.85</v>
      </c>
      <c r="X15" s="63"/>
      <c r="Y15" s="63"/>
      <c r="Z15" s="63"/>
      <c r="AA15" s="64"/>
      <c r="AB15" s="98">
        <f t="shared" si="6"/>
        <v>46300</v>
      </c>
      <c r="AC15" s="99"/>
      <c r="AD15" s="99"/>
      <c r="AE15" s="99"/>
      <c r="AF15" s="99"/>
      <c r="AG15" s="87"/>
      <c r="AH15" s="79"/>
      <c r="AI15" s="79"/>
      <c r="AJ15" s="79"/>
      <c r="CT15" s="70">
        <f t="shared" si="5"/>
        <v>5</v>
      </c>
      <c r="CU15" s="77">
        <f>IF($G$10="TAB06",_xlfn.XLOOKUP(CT15,IMPORTACAO!$DD$5:$DD$14,IMPORTACAO!$DF$5:$DF$14),IF($N$7&lt;=IMPORTACAO!$DI$20,IMPORTACAO!$DF$20,IF($N$7&lt;=IMPORTACAO!$DI$21,IMPORTACAO!$DF$21,IMPORTACAO!$DF$22))*CT15)</f>
        <v>6.7500000000000004E-2</v>
      </c>
      <c r="DD15" s="32"/>
      <c r="DE15" s="40"/>
      <c r="DF15" s="41"/>
      <c r="DG15" s="32"/>
      <c r="DH15" s="32"/>
      <c r="DI15" s="34"/>
    </row>
    <row r="16" spans="2:127" x14ac:dyDescent="0.25">
      <c r="B16" s="115"/>
      <c r="D16" s="28" t="s">
        <v>20</v>
      </c>
      <c r="E16" s="18"/>
      <c r="F16" s="19"/>
      <c r="G16" s="112">
        <f t="shared" si="3"/>
        <v>28457.1</v>
      </c>
      <c r="H16" s="113"/>
      <c r="I16" s="113"/>
      <c r="J16" s="114"/>
      <c r="K16" s="20">
        <f>ROUND(IF($K$10="TAB07",IF(($X$6*IMPORTACAO!$DF$16)&lt;IMPORTACAO!$DG$16,IMPORTACAO!$DG$16,$X$6*IMPORTACAO!$DF$16),0),2)*IF($X$6&lt;=0,0,1)</f>
        <v>22.03</v>
      </c>
      <c r="L16" s="21"/>
      <c r="M16" s="21"/>
      <c r="N16" s="22"/>
      <c r="O16" s="23"/>
      <c r="P16" s="24"/>
      <c r="Q16" s="24"/>
      <c r="R16" s="25"/>
      <c r="S16" s="23"/>
      <c r="T16" s="24"/>
      <c r="U16" s="24"/>
      <c r="V16" s="25"/>
      <c r="W16" s="62">
        <f t="shared" si="4"/>
        <v>28479.129999999997</v>
      </c>
      <c r="X16" s="63"/>
      <c r="Y16" s="63"/>
      <c r="Z16" s="63"/>
      <c r="AA16" s="64"/>
      <c r="AB16" s="98">
        <f t="shared" si="6"/>
        <v>46310</v>
      </c>
      <c r="AC16" s="99"/>
      <c r="AD16" s="99"/>
      <c r="AE16" s="99"/>
      <c r="AF16" s="99"/>
      <c r="AG16" s="87"/>
      <c r="AH16" s="79"/>
      <c r="AI16" s="79"/>
      <c r="AJ16" s="79"/>
      <c r="CT16" s="70">
        <f t="shared" si="5"/>
        <v>6</v>
      </c>
      <c r="CU16" s="77">
        <f>IF($G$10="TAB06",_xlfn.XLOOKUP(CT16,IMPORTACAO!$DD$5:$DD$14,IMPORTACAO!$DF$5:$DF$14),IF($N$7&lt;=IMPORTACAO!$DI$20,IMPORTACAO!$DF$20,IF($N$7&lt;=IMPORTACAO!$DI$21,IMPORTACAO!$DF$21,IMPORTACAO!$DF$22))*CT16)</f>
        <v>0.09</v>
      </c>
      <c r="DD16" s="39" t="s">
        <v>10</v>
      </c>
      <c r="DE16" s="40" t="s">
        <v>21</v>
      </c>
      <c r="DF16" s="42">
        <v>9.1499999999999998E-2</v>
      </c>
      <c r="DG16" s="32">
        <v>22.03</v>
      </c>
      <c r="DH16" s="32"/>
      <c r="DI16" s="32"/>
    </row>
    <row r="17" spans="2:113" x14ac:dyDescent="0.25">
      <c r="B17" s="115"/>
      <c r="D17" s="28" t="s">
        <v>21</v>
      </c>
      <c r="E17" s="18"/>
      <c r="F17" s="19"/>
      <c r="G17" s="112">
        <f t="shared" si="3"/>
        <v>35571.370000000003</v>
      </c>
      <c r="H17" s="113"/>
      <c r="I17" s="113"/>
      <c r="J17" s="114"/>
      <c r="K17" s="20">
        <f>ROUND(IF($K$10="TAB07",IF(($X$6*IMPORTACAO!$DF$16)&lt;IMPORTACAO!$DG$16,IMPORTACAO!$DG$16,$X$6*IMPORTACAO!$DF$16),0),2)*IF($X$6&lt;=0,0,1)</f>
        <v>22.03</v>
      </c>
      <c r="L17" s="21"/>
      <c r="M17" s="21"/>
      <c r="N17" s="22"/>
      <c r="O17" s="23"/>
      <c r="P17" s="24"/>
      <c r="Q17" s="24"/>
      <c r="R17" s="25"/>
      <c r="S17" s="23"/>
      <c r="T17" s="24"/>
      <c r="U17" s="24"/>
      <c r="V17" s="25"/>
      <c r="W17" s="62">
        <f t="shared" si="4"/>
        <v>35593.4</v>
      </c>
      <c r="X17" s="63"/>
      <c r="Y17" s="63"/>
      <c r="Z17" s="63"/>
      <c r="AA17" s="64"/>
      <c r="AB17" s="98">
        <f t="shared" si="6"/>
        <v>46320</v>
      </c>
      <c r="AC17" s="99"/>
      <c r="AD17" s="99"/>
      <c r="AE17" s="99"/>
      <c r="AF17" s="99"/>
      <c r="AG17" s="87"/>
      <c r="AH17" s="79"/>
      <c r="AI17" s="79"/>
      <c r="AJ17" s="79"/>
      <c r="CT17" s="70">
        <f t="shared" si="5"/>
        <v>7</v>
      </c>
      <c r="CU17" s="77">
        <f>IF($G$10="TAB06",_xlfn.XLOOKUP(CT17,IMPORTACAO!$DD$5:$DD$14,IMPORTACAO!$DF$5:$DF$14),IF($N$7&lt;=IMPORTACAO!$DI$20,IMPORTACAO!$DF$20,IF($N$7&lt;=IMPORTACAO!$DI$21,IMPORTACAO!$DF$21,IMPORTACAO!$DF$22))*CT17)</f>
        <v>0.11249999999999999</v>
      </c>
      <c r="DD17" s="39"/>
      <c r="DE17" s="40"/>
      <c r="DF17" s="42"/>
      <c r="DG17" s="32"/>
      <c r="DH17" s="32"/>
      <c r="DI17" s="32"/>
    </row>
    <row r="18" spans="2:113" x14ac:dyDescent="0.25">
      <c r="B18" s="16"/>
      <c r="D18" s="28" t="s">
        <v>25</v>
      </c>
      <c r="E18" s="18"/>
      <c r="F18" s="19"/>
      <c r="G18" s="112">
        <f t="shared" si="3"/>
        <v>42685.65</v>
      </c>
      <c r="H18" s="113"/>
      <c r="I18" s="113"/>
      <c r="J18" s="114"/>
      <c r="K18" s="20">
        <f>ROUND(IF($K$10="TAB07",IF(($X$6*IMPORTACAO!$DF$16)&lt;IMPORTACAO!$DG$16,IMPORTACAO!$DG$16,$X$6*IMPORTACAO!$DF$16),0),2)*IF($X$6&lt;=0,0,1)</f>
        <v>22.03</v>
      </c>
      <c r="L18" s="21"/>
      <c r="M18" s="21"/>
      <c r="N18" s="22"/>
      <c r="O18" s="23"/>
      <c r="P18" s="24"/>
      <c r="Q18" s="24"/>
      <c r="R18" s="25"/>
      <c r="S18" s="23"/>
      <c r="T18" s="24"/>
      <c r="U18" s="24"/>
      <c r="V18" s="25"/>
      <c r="W18" s="62">
        <f t="shared" si="4"/>
        <v>42707.68</v>
      </c>
      <c r="X18" s="63"/>
      <c r="Y18" s="63"/>
      <c r="Z18" s="63"/>
      <c r="AA18" s="64"/>
      <c r="AB18" s="98">
        <f t="shared" si="6"/>
        <v>46330</v>
      </c>
      <c r="AC18" s="99"/>
      <c r="AD18" s="99"/>
      <c r="AE18" s="99"/>
      <c r="AF18" s="99"/>
      <c r="AG18" s="87"/>
      <c r="AH18" s="79"/>
      <c r="AI18" s="79"/>
      <c r="AJ18" s="79"/>
      <c r="CT18" s="70">
        <f t="shared" si="5"/>
        <v>8</v>
      </c>
      <c r="CU18" s="77">
        <f>IF($G$10="TAB06",_xlfn.XLOOKUP(CT18,IMPORTACAO!$DD$5:$DD$14,IMPORTACAO!$DF$5:$DF$14),IF($N$7&lt;=IMPORTACAO!$DI$20,IMPORTACAO!$DF$20,IF($N$7&lt;=IMPORTACAO!$DI$21,IMPORTACAO!$DF$21,IMPORTACAO!$DF$22))*CT18)</f>
        <v>0.13499999999999998</v>
      </c>
      <c r="DD18" s="39" t="s">
        <v>10</v>
      </c>
      <c r="DE18" s="40" t="s">
        <v>26</v>
      </c>
      <c r="DF18" s="42">
        <v>1.5279</v>
      </c>
      <c r="DG18" s="32">
        <v>110.26</v>
      </c>
      <c r="DH18" s="32"/>
      <c r="DI18" s="32"/>
    </row>
    <row r="19" spans="2:113" x14ac:dyDescent="0.25">
      <c r="B19" s="16"/>
      <c r="D19" s="28" t="s">
        <v>26</v>
      </c>
      <c r="E19" s="18"/>
      <c r="F19" s="19"/>
      <c r="G19" s="112">
        <f t="shared" si="3"/>
        <v>49799.92</v>
      </c>
      <c r="H19" s="113"/>
      <c r="I19" s="113"/>
      <c r="J19" s="114"/>
      <c r="K19" s="20">
        <f>ROUND(IF($K$10="TAB07",IF(($X$6*IMPORTACAO!$DF$16)&lt;IMPORTACAO!$DG$16,IMPORTACAO!$DG$16,$X$6*IMPORTACAO!$DF$16),0),2)*IF($X$6&lt;=0,0,1)</f>
        <v>22.03</v>
      </c>
      <c r="L19" s="21"/>
      <c r="M19" s="21"/>
      <c r="N19" s="22"/>
      <c r="O19" s="23"/>
      <c r="P19" s="24"/>
      <c r="Q19" s="24"/>
      <c r="R19" s="25"/>
      <c r="S19" s="23"/>
      <c r="T19" s="24"/>
      <c r="U19" s="24"/>
      <c r="V19" s="25"/>
      <c r="W19" s="62">
        <f t="shared" si="4"/>
        <v>49821.95</v>
      </c>
      <c r="X19" s="63"/>
      <c r="Y19" s="63"/>
      <c r="Z19" s="63"/>
      <c r="AA19" s="64"/>
      <c r="AB19" s="98">
        <f t="shared" si="6"/>
        <v>46340</v>
      </c>
      <c r="AC19" s="99"/>
      <c r="AD19" s="99"/>
      <c r="AE19" s="99"/>
      <c r="AF19" s="99"/>
      <c r="AG19" s="87"/>
      <c r="AH19" s="79"/>
      <c r="AI19" s="79"/>
      <c r="AJ19" s="79"/>
      <c r="CT19" s="70">
        <f t="shared" si="5"/>
        <v>9</v>
      </c>
      <c r="CU19" s="77">
        <f>IF($G$10="TAB06",_xlfn.XLOOKUP(CT19,IMPORTACAO!$DD$5:$DD$14,IMPORTACAO!$DF$5:$DF$14),IF($N$7&lt;=IMPORTACAO!$DI$20,IMPORTACAO!$DF$20,IF($N$7&lt;=IMPORTACAO!$DI$21,IMPORTACAO!$DF$21,IMPORTACAO!$DF$22))*CT19)</f>
        <v>0.15749999999999997</v>
      </c>
      <c r="DD19" s="32"/>
      <c r="DE19" s="39"/>
      <c r="DF19" s="39"/>
      <c r="DG19" s="32"/>
      <c r="DH19" s="32"/>
      <c r="DI19" s="32"/>
    </row>
    <row r="20" spans="2:113" x14ac:dyDescent="0.25">
      <c r="D20" s="28" t="s">
        <v>27</v>
      </c>
      <c r="E20" s="18"/>
      <c r="F20" s="19"/>
      <c r="G20" s="112">
        <f t="shared" si="3"/>
        <v>56914.19</v>
      </c>
      <c r="H20" s="113"/>
      <c r="I20" s="113"/>
      <c r="J20" s="114"/>
      <c r="K20" s="20">
        <f>ROUND(IF($K$10="TAB07",IF(($X$6*IMPORTACAO!$DF$16)&lt;IMPORTACAO!$DG$16,IMPORTACAO!$DG$16,$X$6*IMPORTACAO!$DF$16),0),2)*IF($X$6&lt;=0,0,1)</f>
        <v>22.03</v>
      </c>
      <c r="L20" s="21"/>
      <c r="M20" s="21"/>
      <c r="N20" s="22"/>
      <c r="O20" s="23"/>
      <c r="P20" s="24"/>
      <c r="Q20" s="24"/>
      <c r="R20" s="25"/>
      <c r="S20" s="23"/>
      <c r="T20" s="24"/>
      <c r="U20" s="24"/>
      <c r="V20" s="25"/>
      <c r="W20" s="62">
        <f t="shared" si="4"/>
        <v>56936.22</v>
      </c>
      <c r="X20" s="63"/>
      <c r="Y20" s="63"/>
      <c r="Z20" s="63"/>
      <c r="AA20" s="64"/>
      <c r="AB20" s="98">
        <f t="shared" si="6"/>
        <v>46350</v>
      </c>
      <c r="AC20" s="99"/>
      <c r="AD20" s="99"/>
      <c r="AE20" s="99"/>
      <c r="AF20" s="99"/>
      <c r="AG20" s="87"/>
      <c r="AH20" s="79"/>
      <c r="AI20" s="79"/>
      <c r="AJ20" s="79"/>
      <c r="CT20" s="70">
        <f t="shared" si="5"/>
        <v>10</v>
      </c>
      <c r="CU20" s="77">
        <f>IF($G$10="TAB06",_xlfn.XLOOKUP(CT20,IMPORTACAO!$DD$5:$DD$14,IMPORTACAO!$DF$5:$DF$14),IF($N$7&lt;=IMPORTACAO!$DI$20,IMPORTACAO!$DF$20,IF($N$7&lt;=IMPORTACAO!$DI$21,IMPORTACAO!$DF$21,IMPORTACAO!$DF$22))*CT20)</f>
        <v>0.17999999999999997</v>
      </c>
      <c r="DD20" s="32"/>
      <c r="DE20" s="40" t="s">
        <v>27</v>
      </c>
      <c r="DF20" s="41">
        <v>6.0000000000000001E-3</v>
      </c>
      <c r="DG20" s="32"/>
      <c r="DH20" s="32"/>
      <c r="DI20" s="34">
        <v>32452.880000000001</v>
      </c>
    </row>
    <row r="21" spans="2:113" x14ac:dyDescent="0.25">
      <c r="D21" s="1" t="s">
        <v>34</v>
      </c>
      <c r="AG21" s="80"/>
      <c r="AH21" s="80"/>
      <c r="AI21" s="80"/>
      <c r="AJ21" s="80"/>
      <c r="DD21" s="32"/>
      <c r="DE21" s="40" t="s">
        <v>27</v>
      </c>
      <c r="DF21" s="41">
        <v>3.0000000000000001E-3</v>
      </c>
      <c r="DG21" s="32"/>
      <c r="DH21" s="32"/>
      <c r="DI21" s="34">
        <v>129811.56</v>
      </c>
    </row>
    <row r="22" spans="2:113" x14ac:dyDescent="0.25">
      <c r="DD22" s="32"/>
      <c r="DE22" s="40" t="s">
        <v>27</v>
      </c>
      <c r="DF22" s="41">
        <v>1.5E-3</v>
      </c>
      <c r="DG22" s="32"/>
      <c r="DH22" s="32"/>
      <c r="DI22" s="34"/>
    </row>
    <row r="23" spans="2:113" x14ac:dyDescent="0.25">
      <c r="B23" s="2"/>
      <c r="DD23" s="32"/>
      <c r="DE23" s="39"/>
      <c r="DF23" s="39"/>
      <c r="DG23" s="32"/>
      <c r="DH23" s="32"/>
      <c r="DI23" s="32"/>
    </row>
    <row r="24" spans="2:113" x14ac:dyDescent="0.25">
      <c r="DD24" s="32"/>
      <c r="DE24" s="43"/>
      <c r="DF24" s="41"/>
      <c r="DG24" s="44"/>
      <c r="DH24" s="45"/>
      <c r="DI24" s="34"/>
    </row>
    <row r="25" spans="2:113" x14ac:dyDescent="0.25">
      <c r="DD25" s="32"/>
      <c r="DE25" s="43"/>
      <c r="DF25" s="41"/>
      <c r="DG25" s="44"/>
      <c r="DH25" s="45"/>
      <c r="DI25" s="34"/>
    </row>
    <row r="26" spans="2:113" x14ac:dyDescent="0.25">
      <c r="DD26" s="32"/>
      <c r="DE26" s="43"/>
      <c r="DF26" s="41"/>
      <c r="DG26" s="44"/>
      <c r="DH26" s="45"/>
      <c r="DI26" s="34"/>
    </row>
    <row r="27" spans="2:113" x14ac:dyDescent="0.25">
      <c r="DE27" s="46"/>
      <c r="DF27" s="47"/>
      <c r="DI27" s="36"/>
    </row>
    <row r="28" spans="2:113" x14ac:dyDescent="0.25">
      <c r="DD28" s="32"/>
      <c r="DE28" s="43"/>
      <c r="DF28" s="41"/>
      <c r="DG28" s="44"/>
      <c r="DH28" s="45"/>
      <c r="DI28" s="34"/>
    </row>
    <row r="29" spans="2:113" x14ac:dyDescent="0.25">
      <c r="DD29" s="32"/>
      <c r="DE29" s="43"/>
      <c r="DF29" s="41"/>
      <c r="DG29" s="44"/>
      <c r="DH29" s="45"/>
      <c r="DI29" s="34"/>
    </row>
    <row r="30" spans="2:113" x14ac:dyDescent="0.25">
      <c r="DD30" s="32"/>
      <c r="DE30" s="43"/>
      <c r="DF30" s="41"/>
      <c r="DG30" s="44"/>
      <c r="DH30" s="45"/>
      <c r="DI30" s="34"/>
    </row>
    <row r="32" spans="2:113" x14ac:dyDescent="0.25">
      <c r="DD32" s="32"/>
      <c r="DE32" s="43"/>
      <c r="DF32" s="41"/>
      <c r="DG32" s="44"/>
      <c r="DH32" s="45"/>
      <c r="DI32" s="34"/>
    </row>
    <row r="33" spans="108:113" x14ac:dyDescent="0.25">
      <c r="DD33" s="32"/>
      <c r="DE33" s="43"/>
      <c r="DF33" s="41"/>
      <c r="DG33" s="44"/>
      <c r="DH33" s="45"/>
      <c r="DI33" s="34"/>
    </row>
    <row r="34" spans="108:113" x14ac:dyDescent="0.25">
      <c r="DD34" s="32"/>
      <c r="DE34" s="43"/>
      <c r="DF34" s="41"/>
      <c r="DG34" s="44"/>
      <c r="DH34" s="45"/>
      <c r="DI34" s="34"/>
    </row>
    <row r="36" spans="108:113" x14ac:dyDescent="0.25">
      <c r="DD36" s="32"/>
      <c r="DE36" s="43"/>
      <c r="DF36" s="41"/>
      <c r="DG36" s="44"/>
      <c r="DH36" s="45"/>
      <c r="DI36" s="34"/>
    </row>
    <row r="37" spans="108:113" x14ac:dyDescent="0.25">
      <c r="DD37" s="32"/>
      <c r="DE37" s="43"/>
      <c r="DF37" s="41"/>
      <c r="DG37" s="44"/>
      <c r="DH37" s="45"/>
      <c r="DI37" s="34"/>
    </row>
    <row r="38" spans="108:113" x14ac:dyDescent="0.25">
      <c r="DD38" s="32"/>
      <c r="DE38" s="43"/>
      <c r="DF38" s="41"/>
      <c r="DG38" s="44"/>
      <c r="DH38" s="45"/>
      <c r="DI38" s="34"/>
    </row>
    <row r="40" spans="108:113" x14ac:dyDescent="0.25">
      <c r="DD40" s="32" t="s">
        <v>11</v>
      </c>
      <c r="DE40" s="48">
        <v>0</v>
      </c>
      <c r="DF40" s="38">
        <v>0</v>
      </c>
      <c r="DG40" s="32"/>
      <c r="DH40" s="32"/>
      <c r="DI40" s="34"/>
    </row>
    <row r="42" spans="108:113" x14ac:dyDescent="0.25">
      <c r="DD42" s="32" t="s">
        <v>35</v>
      </c>
      <c r="DE42" s="48">
        <v>0.12230000000000001</v>
      </c>
      <c r="DF42" s="38">
        <v>8.83</v>
      </c>
      <c r="DG42" s="32"/>
      <c r="DH42" s="32"/>
      <c r="DI42" s="34"/>
    </row>
  </sheetData>
  <sheetProtection algorithmName="SHA-512" hashValue="/iteO2KMKXcgu0B3CRPxgLpYPi5D60R9aVICZhsv7R+osh9Mqi7FnwO7Cyb6AoBgXCvydwbfWsPxwXgXM4m/rw==" saltValue="vPUmoqSyHLG09GDVvGvm6w==" spinCount="100000" sheet="1" objects="1" scenarios="1"/>
  <mergeCells count="32">
    <mergeCell ref="G20:J20"/>
    <mergeCell ref="G11:J11"/>
    <mergeCell ref="B11:B17"/>
    <mergeCell ref="G17:J17"/>
    <mergeCell ref="G18:J18"/>
    <mergeCell ref="G19:J19"/>
    <mergeCell ref="G12:J12"/>
    <mergeCell ref="G13:J13"/>
    <mergeCell ref="G14:J14"/>
    <mergeCell ref="G15:J15"/>
    <mergeCell ref="G16:J16"/>
    <mergeCell ref="D6:M6"/>
    <mergeCell ref="N6:W6"/>
    <mergeCell ref="X6:AB6"/>
    <mergeCell ref="AC6:AG6"/>
    <mergeCell ref="S10:V10"/>
    <mergeCell ref="AB17:AF17"/>
    <mergeCell ref="AB18:AF18"/>
    <mergeCell ref="AB10:AF10"/>
    <mergeCell ref="AB19:AF19"/>
    <mergeCell ref="AB20:AF20"/>
    <mergeCell ref="AB11:AF11"/>
    <mergeCell ref="AB12:AF12"/>
    <mergeCell ref="AB13:AF13"/>
    <mergeCell ref="AB14:AF14"/>
    <mergeCell ref="AB15:AF15"/>
    <mergeCell ref="AC5:AG5"/>
    <mergeCell ref="W10:AA10"/>
    <mergeCell ref="O11:R11"/>
    <mergeCell ref="AH7:AO7"/>
    <mergeCell ref="AB16:AF16"/>
    <mergeCell ref="AH6:AO6"/>
  </mergeCells>
  <dataValidations count="3">
    <dataValidation type="decimal" allowBlank="1" showInputMessage="1" showErrorMessage="1" error="Valores entre 0 e 999999999,9999" sqref="X6:AG6" xr:uid="{02D4B4E2-051B-4B2D-992A-D598F5741778}">
      <formula1>0</formula1>
      <formula2>999999999.9999</formula2>
    </dataValidation>
    <dataValidation type="decimal" operator="greaterThan" allowBlank="1" showInputMessage="1" showErrorMessage="1" sqref="N6:W6" xr:uid="{36A9B029-7FD6-40FB-B47A-8E63B9C803B5}">
      <formula1>0</formula1>
    </dataValidation>
    <dataValidation type="date" allowBlank="1" showInputMessage="1" showErrorMessage="1" sqref="D6:M6" xr:uid="{FEDC160A-2653-4C63-BD27-77DAF38612DA}">
      <formula1>45722</formula1>
      <formula2>46387</formula2>
    </dataValidation>
  </dataValidations>
  <pageMargins left="0.70866141732283472" right="0.31496062992125984" top="0.35433070866141736" bottom="0.35433070866141736" header="0.31496062992125984" footer="0.31496062992125984"/>
  <pageSetup paperSize="9" scale="86" orientation="portrait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943F-F1FC-4392-9F89-7639BD83EE74}">
  <sheetPr>
    <pageSetUpPr fitToPage="1"/>
  </sheetPr>
  <dimension ref="B2:DD23"/>
  <sheetViews>
    <sheetView showGridLines="0" zoomScale="106" zoomScaleNormal="106" workbookViewId="0">
      <selection activeCell="AQ8" sqref="AQ8"/>
    </sheetView>
  </sheetViews>
  <sheetFormatPr defaultRowHeight="15" x14ac:dyDescent="0.25"/>
  <cols>
    <col min="1" max="32" width="2.7109375" style="1" customWidth="1"/>
    <col min="33" max="33" width="3.5703125" style="1" customWidth="1"/>
    <col min="34" max="40" width="2.7109375" style="1" customWidth="1"/>
    <col min="41" max="42" width="2.7109375" style="51" customWidth="1"/>
    <col min="43" max="43" width="3.140625" style="31" customWidth="1"/>
    <col min="44" max="44" width="7.7109375" style="31" hidden="1" customWidth="1"/>
    <col min="45" max="49" width="3.140625" style="31" hidden="1" customWidth="1"/>
    <col min="50" max="50" width="7" style="31" hidden="1" customWidth="1"/>
    <col min="51" max="51" width="5" style="31" hidden="1" customWidth="1"/>
    <col min="52" max="64" width="3.140625" style="31" hidden="1" customWidth="1"/>
    <col min="65" max="98" width="3.140625" style="53" customWidth="1"/>
    <col min="99" max="104" width="9.140625" style="51" customWidth="1"/>
    <col min="105" max="108" width="9.140625" style="51"/>
    <col min="109" max="16384" width="9.140625" style="1"/>
  </cols>
  <sheetData>
    <row r="2" spans="2:108" x14ac:dyDescent="0.25">
      <c r="L2" s="85" t="s">
        <v>32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</row>
    <row r="3" spans="2:108" ht="15.75" x14ac:dyDescent="0.25">
      <c r="H3" s="84" t="s">
        <v>33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54"/>
    </row>
    <row r="5" spans="2:108" s="5" customFormat="1" ht="24.95" customHeight="1" x14ac:dyDescent="0.25">
      <c r="D5" s="88" t="s">
        <v>19</v>
      </c>
      <c r="E5" s="89"/>
      <c r="F5" s="89"/>
      <c r="G5" s="89"/>
      <c r="H5" s="89"/>
      <c r="I5" s="89"/>
      <c r="J5" s="89"/>
      <c r="K5" s="89"/>
      <c r="L5" s="89"/>
      <c r="M5" s="89"/>
      <c r="N5" s="90"/>
      <c r="O5" s="88" t="s">
        <v>30</v>
      </c>
      <c r="P5" s="89"/>
      <c r="Q5" s="89"/>
      <c r="R5" s="89"/>
      <c r="S5" s="89"/>
      <c r="T5" s="89"/>
      <c r="U5" s="89"/>
      <c r="V5" s="89"/>
      <c r="W5" s="89"/>
      <c r="X5" s="90"/>
      <c r="Y5" s="88" t="s">
        <v>31</v>
      </c>
      <c r="Z5" s="89"/>
      <c r="AA5" s="89"/>
      <c r="AB5" s="89"/>
      <c r="AC5" s="90"/>
      <c r="AD5" s="88" t="s">
        <v>22</v>
      </c>
      <c r="AE5" s="89"/>
      <c r="AF5" s="89"/>
      <c r="AG5" s="89"/>
      <c r="AH5" s="90"/>
      <c r="AI5" s="59"/>
      <c r="AJ5" s="59"/>
      <c r="AK5" s="59"/>
      <c r="AL5" s="59"/>
      <c r="AM5" s="59"/>
      <c r="AN5" s="59"/>
      <c r="AO5" s="60"/>
      <c r="AP5" s="60"/>
      <c r="AQ5" s="33"/>
      <c r="AR5" s="33"/>
      <c r="AS5" s="33"/>
      <c r="AT5" s="33"/>
      <c r="AU5" s="33"/>
      <c r="AV5" s="33"/>
      <c r="AW5" s="33"/>
      <c r="AX5" s="33">
        <v>0.1177</v>
      </c>
      <c r="AY5" s="33">
        <v>7.43</v>
      </c>
      <c r="AZ5" s="33"/>
      <c r="BA5" s="33"/>
      <c r="BB5" s="33"/>
      <c r="BC5" s="33"/>
      <c r="BD5" s="33"/>
      <c r="BE5" s="33"/>
      <c r="BF5" s="33"/>
      <c r="BG5" s="33" t="s">
        <v>12</v>
      </c>
      <c r="BH5" s="33"/>
      <c r="BI5" s="33"/>
      <c r="BJ5" s="33"/>
      <c r="BK5" s="33"/>
      <c r="BL5" s="33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6"/>
      <c r="CV5" s="56"/>
      <c r="CW5" s="56"/>
      <c r="CX5" s="56"/>
      <c r="CY5" s="56"/>
      <c r="CZ5" s="56"/>
      <c r="DA5" s="56"/>
      <c r="DB5" s="56"/>
      <c r="DC5" s="56"/>
      <c r="DD5" s="56"/>
    </row>
    <row r="6" spans="2:108" s="3" customFormat="1" ht="24.95" customHeight="1" x14ac:dyDescent="0.25">
      <c r="D6" s="103">
        <v>46184</v>
      </c>
      <c r="E6" s="104"/>
      <c r="F6" s="104"/>
      <c r="G6" s="104"/>
      <c r="H6" s="104"/>
      <c r="I6" s="104"/>
      <c r="J6" s="104"/>
      <c r="K6" s="104"/>
      <c r="L6" s="104"/>
      <c r="M6" s="104"/>
      <c r="N6" s="105"/>
      <c r="O6" s="106">
        <v>1</v>
      </c>
      <c r="P6" s="107"/>
      <c r="Q6" s="107"/>
      <c r="R6" s="107"/>
      <c r="S6" s="107"/>
      <c r="T6" s="107"/>
      <c r="U6" s="107"/>
      <c r="V6" s="107"/>
      <c r="W6" s="107"/>
      <c r="X6" s="108"/>
      <c r="Y6" s="81">
        <v>5</v>
      </c>
      <c r="Z6" s="82"/>
      <c r="AA6" s="82"/>
      <c r="AB6" s="82"/>
      <c r="AC6" s="83"/>
      <c r="AD6" s="109">
        <v>6049</v>
      </c>
      <c r="AE6" s="110"/>
      <c r="AF6" s="110"/>
      <c r="AG6" s="110"/>
      <c r="AH6" s="111"/>
      <c r="AI6" s="59"/>
      <c r="AJ6" s="59"/>
      <c r="AK6" s="59"/>
      <c r="AL6" s="59"/>
      <c r="AM6" s="59"/>
      <c r="AN6" s="59"/>
      <c r="AO6" s="60"/>
      <c r="AP6" s="60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 t="s">
        <v>13</v>
      </c>
      <c r="BH6" s="35"/>
      <c r="BI6" s="35"/>
      <c r="BJ6" s="35"/>
      <c r="BK6" s="35"/>
      <c r="BL6" s="35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8"/>
      <c r="CV6" s="58"/>
      <c r="CW6" s="58"/>
      <c r="CX6" s="58"/>
      <c r="CY6" s="58"/>
      <c r="CZ6" s="58"/>
      <c r="DA6" s="58"/>
      <c r="DB6" s="58"/>
      <c r="DC6" s="58"/>
      <c r="DD6" s="58"/>
    </row>
    <row r="7" spans="2:108" s="51" customFormat="1" x14ac:dyDescent="0.25">
      <c r="AH7" s="52"/>
      <c r="AI7" s="119"/>
      <c r="AJ7" s="119"/>
      <c r="AK7" s="119"/>
      <c r="AL7" s="119"/>
      <c r="AM7" s="119"/>
      <c r="AN7" s="119"/>
      <c r="AO7" s="119"/>
      <c r="AP7" s="119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</row>
    <row r="8" spans="2:108" x14ac:dyDescent="0.25">
      <c r="B8" s="2" t="s">
        <v>15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I8" s="17"/>
      <c r="AJ8" s="17"/>
      <c r="AK8" s="17"/>
      <c r="AL8" s="17"/>
      <c r="AM8" s="17"/>
      <c r="AN8" s="17"/>
    </row>
    <row r="9" spans="2:108" x14ac:dyDescent="0.25">
      <c r="D9" s="1" t="s">
        <v>29</v>
      </c>
      <c r="AC9" s="1" t="str">
        <f>IF(AQ11&gt;1,"Valor mínimo até:","")</f>
        <v/>
      </c>
      <c r="AG9" s="27"/>
      <c r="AH9" s="26"/>
      <c r="AJ9" s="118" t="str">
        <f>IF(AQ11&gt;1,IF(G11=G12,AC12,AC11),"")</f>
        <v/>
      </c>
      <c r="AK9" s="118"/>
      <c r="AL9" s="118"/>
      <c r="AM9" s="118"/>
      <c r="AN9" s="118"/>
      <c r="AO9" s="118"/>
    </row>
    <row r="10" spans="2:108" s="5" customFormat="1" ht="20.100000000000001" customHeight="1" x14ac:dyDescent="0.25">
      <c r="B10" s="4"/>
      <c r="D10" s="11" t="s">
        <v>16</v>
      </c>
      <c r="E10" s="9"/>
      <c r="F10" s="10"/>
      <c r="G10" s="11" t="s">
        <v>35</v>
      </c>
      <c r="H10" s="9"/>
      <c r="I10" s="9"/>
      <c r="J10" s="9"/>
      <c r="K10" s="10"/>
      <c r="L10" s="91"/>
      <c r="M10" s="92"/>
      <c r="N10" s="92"/>
      <c r="O10" s="93"/>
      <c r="P10" s="91"/>
      <c r="Q10" s="92"/>
      <c r="R10" s="92"/>
      <c r="S10" s="93"/>
      <c r="T10" s="91"/>
      <c r="U10" s="92"/>
      <c r="V10" s="92"/>
      <c r="W10" s="93"/>
      <c r="X10" s="12" t="s">
        <v>17</v>
      </c>
      <c r="Y10" s="13"/>
      <c r="Z10" s="13"/>
      <c r="AA10" s="13"/>
      <c r="AB10" s="14"/>
      <c r="AC10" s="100" t="s">
        <v>18</v>
      </c>
      <c r="AD10" s="101"/>
      <c r="AE10" s="101"/>
      <c r="AF10" s="101"/>
      <c r="AG10" s="101"/>
      <c r="AH10" s="117"/>
      <c r="AI10" s="78"/>
      <c r="AJ10" s="78"/>
      <c r="AK10" s="78"/>
      <c r="AL10" s="78"/>
      <c r="AM10" s="78"/>
      <c r="AN10" s="78"/>
      <c r="AO10" s="78"/>
      <c r="AP10" s="78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6"/>
      <c r="CV10" s="56"/>
      <c r="CW10" s="56"/>
      <c r="CX10" s="56"/>
      <c r="CY10" s="56"/>
      <c r="CZ10" s="56"/>
      <c r="DA10" s="56"/>
      <c r="DB10" s="56"/>
      <c r="DC10" s="56"/>
      <c r="DD10" s="56"/>
    </row>
    <row r="11" spans="2:108" x14ac:dyDescent="0.25">
      <c r="B11" s="115" t="s">
        <v>28</v>
      </c>
      <c r="D11" s="28" t="str">
        <f t="shared" ref="D11:D20" si="0">TEXT(AQ11,"00")</f>
        <v>01</v>
      </c>
      <c r="E11" s="18"/>
      <c r="F11" s="19"/>
      <c r="G11" s="112">
        <f>IF(AR11&lt;$AY$5,$AY$5,AR11)*IF($AD$6&lt;=0,0,1)</f>
        <v>711.97</v>
      </c>
      <c r="H11" s="113"/>
      <c r="I11" s="113"/>
      <c r="J11" s="113"/>
      <c r="K11" s="114"/>
      <c r="L11" s="62"/>
      <c r="M11" s="63"/>
      <c r="N11" s="63"/>
      <c r="O11" s="64"/>
      <c r="P11" s="112"/>
      <c r="Q11" s="113"/>
      <c r="R11" s="113"/>
      <c r="S11" s="114"/>
      <c r="T11" s="65"/>
      <c r="U11" s="66"/>
      <c r="V11" s="66"/>
      <c r="W11" s="67"/>
      <c r="X11" s="62">
        <f>G11+L11+P11</f>
        <v>711.97</v>
      </c>
      <c r="Y11" s="63"/>
      <c r="Z11" s="63"/>
      <c r="AA11" s="63"/>
      <c r="AB11" s="64"/>
      <c r="AC11" s="98">
        <f>IF($D$6&gt;0,IF(AQ11=1,$D$6+3,$D$6+(2*AQ11)+1),"")</f>
        <v>46187</v>
      </c>
      <c r="AD11" s="99"/>
      <c r="AE11" s="99"/>
      <c r="AF11" s="99"/>
      <c r="AG11" s="99"/>
      <c r="AH11" s="116"/>
      <c r="AI11" s="79"/>
      <c r="AJ11" s="79"/>
      <c r="AK11" s="79"/>
      <c r="AL11" s="80"/>
      <c r="AM11" s="80"/>
      <c r="AN11" s="80"/>
      <c r="AO11" s="53"/>
      <c r="AP11" s="53"/>
      <c r="AQ11" s="31">
        <f>IF(AD6&gt;0,IF(INT(AY5/(AD6*AX5))&gt;0,INT(AY5/(AD6*AX5)),1),1)</f>
        <v>1</v>
      </c>
      <c r="AR11" s="31">
        <f>ROUND($AD$6*$AX$5*AQ11,2)</f>
        <v>711.97</v>
      </c>
    </row>
    <row r="12" spans="2:108" ht="15" customHeight="1" x14ac:dyDescent="0.25">
      <c r="B12" s="115"/>
      <c r="D12" s="28" t="str">
        <f t="shared" si="0"/>
        <v>02</v>
      </c>
      <c r="E12" s="18"/>
      <c r="F12" s="19"/>
      <c r="G12" s="112">
        <f t="shared" ref="G12:G20" si="1">IF(AR12&lt;$AY$5,$AY$5,AR12)*IF($AD$6&lt;=0,0,1)</f>
        <v>1423.93</v>
      </c>
      <c r="H12" s="113"/>
      <c r="I12" s="113"/>
      <c r="J12" s="113"/>
      <c r="K12" s="114"/>
      <c r="L12" s="62"/>
      <c r="M12" s="63"/>
      <c r="N12" s="63"/>
      <c r="O12" s="64"/>
      <c r="P12" s="65"/>
      <c r="Q12" s="66"/>
      <c r="R12" s="66"/>
      <c r="S12" s="67"/>
      <c r="T12" s="65"/>
      <c r="U12" s="66"/>
      <c r="V12" s="66"/>
      <c r="W12" s="67"/>
      <c r="X12" s="62">
        <f t="shared" ref="X12:X20" si="2">G12+L12+P12</f>
        <v>1423.93</v>
      </c>
      <c r="Y12" s="63"/>
      <c r="Z12" s="63"/>
      <c r="AA12" s="63"/>
      <c r="AB12" s="64"/>
      <c r="AC12" s="98">
        <f>IF($D$6&gt;0,AC11+2,"")</f>
        <v>46189</v>
      </c>
      <c r="AD12" s="99"/>
      <c r="AE12" s="99"/>
      <c r="AF12" s="99"/>
      <c r="AG12" s="99"/>
      <c r="AH12" s="116"/>
      <c r="AI12" s="79"/>
      <c r="AJ12" s="79"/>
      <c r="AK12" s="79"/>
      <c r="AL12" s="80"/>
      <c r="AM12" s="80"/>
      <c r="AN12" s="80"/>
      <c r="AO12" s="53"/>
      <c r="AP12" s="53"/>
      <c r="AQ12" s="31">
        <f>AQ11+1</f>
        <v>2</v>
      </c>
      <c r="AR12" s="31">
        <f t="shared" ref="AR12:AR20" si="3">ROUND($AD$6*$AX$5*AQ12,2)</f>
        <v>1423.93</v>
      </c>
    </row>
    <row r="13" spans="2:108" x14ac:dyDescent="0.25">
      <c r="B13" s="115"/>
      <c r="D13" s="28" t="str">
        <f t="shared" si="0"/>
        <v>03</v>
      </c>
      <c r="E13" s="18"/>
      <c r="F13" s="19"/>
      <c r="G13" s="112">
        <f t="shared" si="1"/>
        <v>2135.9</v>
      </c>
      <c r="H13" s="113"/>
      <c r="I13" s="113"/>
      <c r="J13" s="113"/>
      <c r="K13" s="114"/>
      <c r="L13" s="62"/>
      <c r="M13" s="63"/>
      <c r="N13" s="63"/>
      <c r="O13" s="64"/>
      <c r="P13" s="65"/>
      <c r="Q13" s="66"/>
      <c r="R13" s="66"/>
      <c r="S13" s="67"/>
      <c r="T13" s="65"/>
      <c r="U13" s="66"/>
      <c r="V13" s="66"/>
      <c r="W13" s="67"/>
      <c r="X13" s="62">
        <f t="shared" si="2"/>
        <v>2135.9</v>
      </c>
      <c r="Y13" s="63"/>
      <c r="Z13" s="63"/>
      <c r="AA13" s="63"/>
      <c r="AB13" s="64"/>
      <c r="AC13" s="98">
        <f t="shared" ref="AC13:AC20" si="4">IF($D$6&gt;0,AC12+2,"")</f>
        <v>46191</v>
      </c>
      <c r="AD13" s="99"/>
      <c r="AE13" s="99"/>
      <c r="AF13" s="99"/>
      <c r="AG13" s="99"/>
      <c r="AH13" s="116"/>
      <c r="AI13" s="79"/>
      <c r="AJ13" s="79"/>
      <c r="AK13" s="79"/>
      <c r="AL13" s="80"/>
      <c r="AM13" s="80"/>
      <c r="AN13" s="80"/>
      <c r="AO13" s="53"/>
      <c r="AP13" s="53"/>
      <c r="AQ13" s="31">
        <f t="shared" ref="AQ13:AQ20" si="5">AQ12+1</f>
        <v>3</v>
      </c>
      <c r="AR13" s="31">
        <f t="shared" si="3"/>
        <v>2135.9</v>
      </c>
    </row>
    <row r="14" spans="2:108" x14ac:dyDescent="0.25">
      <c r="B14" s="115"/>
      <c r="D14" s="28" t="str">
        <f t="shared" si="0"/>
        <v>04</v>
      </c>
      <c r="E14" s="18"/>
      <c r="F14" s="19"/>
      <c r="G14" s="112">
        <f t="shared" si="1"/>
        <v>2847.87</v>
      </c>
      <c r="H14" s="113"/>
      <c r="I14" s="113"/>
      <c r="J14" s="113"/>
      <c r="K14" s="114"/>
      <c r="L14" s="62"/>
      <c r="M14" s="63"/>
      <c r="N14" s="63"/>
      <c r="O14" s="64"/>
      <c r="P14" s="65"/>
      <c r="Q14" s="66"/>
      <c r="R14" s="66"/>
      <c r="S14" s="67"/>
      <c r="T14" s="65"/>
      <c r="U14" s="66"/>
      <c r="V14" s="66"/>
      <c r="W14" s="67"/>
      <c r="X14" s="62">
        <f t="shared" si="2"/>
        <v>2847.87</v>
      </c>
      <c r="Y14" s="63"/>
      <c r="Z14" s="63"/>
      <c r="AA14" s="63"/>
      <c r="AB14" s="64"/>
      <c r="AC14" s="98">
        <f t="shared" si="4"/>
        <v>46193</v>
      </c>
      <c r="AD14" s="99"/>
      <c r="AE14" s="99"/>
      <c r="AF14" s="99"/>
      <c r="AG14" s="99"/>
      <c r="AH14" s="116"/>
      <c r="AI14" s="79"/>
      <c r="AJ14" s="79"/>
      <c r="AK14" s="79"/>
      <c r="AL14" s="80"/>
      <c r="AM14" s="80"/>
      <c r="AN14" s="80"/>
      <c r="AO14" s="53"/>
      <c r="AP14" s="53"/>
      <c r="AQ14" s="31">
        <f t="shared" si="5"/>
        <v>4</v>
      </c>
      <c r="AR14" s="31">
        <f t="shared" si="3"/>
        <v>2847.87</v>
      </c>
    </row>
    <row r="15" spans="2:108" x14ac:dyDescent="0.25">
      <c r="B15" s="115"/>
      <c r="D15" s="28" t="str">
        <f t="shared" si="0"/>
        <v>05</v>
      </c>
      <c r="E15" s="18"/>
      <c r="F15" s="19"/>
      <c r="G15" s="112">
        <f t="shared" si="1"/>
        <v>3559.84</v>
      </c>
      <c r="H15" s="113"/>
      <c r="I15" s="113"/>
      <c r="J15" s="113"/>
      <c r="K15" s="114"/>
      <c r="L15" s="62"/>
      <c r="M15" s="63"/>
      <c r="N15" s="63"/>
      <c r="O15" s="64"/>
      <c r="P15" s="65"/>
      <c r="Q15" s="66"/>
      <c r="R15" s="66"/>
      <c r="S15" s="67"/>
      <c r="T15" s="65"/>
      <c r="U15" s="66"/>
      <c r="V15" s="66"/>
      <c r="W15" s="67"/>
      <c r="X15" s="62">
        <f t="shared" si="2"/>
        <v>3559.84</v>
      </c>
      <c r="Y15" s="63"/>
      <c r="Z15" s="63"/>
      <c r="AA15" s="63"/>
      <c r="AB15" s="64"/>
      <c r="AC15" s="98">
        <f t="shared" si="4"/>
        <v>46195</v>
      </c>
      <c r="AD15" s="99"/>
      <c r="AE15" s="99"/>
      <c r="AF15" s="99"/>
      <c r="AG15" s="99"/>
      <c r="AH15" s="116"/>
      <c r="AI15" s="79"/>
      <c r="AJ15" s="79"/>
      <c r="AK15" s="79"/>
      <c r="AL15" s="80"/>
      <c r="AM15" s="80"/>
      <c r="AN15" s="80"/>
      <c r="AO15" s="53"/>
      <c r="AP15" s="53"/>
      <c r="AQ15" s="31">
        <f t="shared" si="5"/>
        <v>5</v>
      </c>
      <c r="AR15" s="31">
        <f t="shared" si="3"/>
        <v>3559.84</v>
      </c>
    </row>
    <row r="16" spans="2:108" x14ac:dyDescent="0.25">
      <c r="B16" s="115"/>
      <c r="D16" s="28" t="str">
        <f t="shared" si="0"/>
        <v>06</v>
      </c>
      <c r="E16" s="18"/>
      <c r="F16" s="19"/>
      <c r="G16" s="112">
        <f t="shared" si="1"/>
        <v>4271.8</v>
      </c>
      <c r="H16" s="113"/>
      <c r="I16" s="113"/>
      <c r="J16" s="113"/>
      <c r="K16" s="114"/>
      <c r="L16" s="62"/>
      <c r="M16" s="63"/>
      <c r="N16" s="63"/>
      <c r="O16" s="64"/>
      <c r="P16" s="65"/>
      <c r="Q16" s="66"/>
      <c r="R16" s="66"/>
      <c r="S16" s="67"/>
      <c r="T16" s="65"/>
      <c r="U16" s="66"/>
      <c r="V16" s="66"/>
      <c r="W16" s="67"/>
      <c r="X16" s="62">
        <f t="shared" si="2"/>
        <v>4271.8</v>
      </c>
      <c r="Y16" s="63"/>
      <c r="Z16" s="63"/>
      <c r="AA16" s="63"/>
      <c r="AB16" s="64"/>
      <c r="AC16" s="98">
        <f t="shared" si="4"/>
        <v>46197</v>
      </c>
      <c r="AD16" s="99"/>
      <c r="AE16" s="99"/>
      <c r="AF16" s="99"/>
      <c r="AG16" s="99"/>
      <c r="AH16" s="116"/>
      <c r="AI16" s="79"/>
      <c r="AJ16" s="79"/>
      <c r="AK16" s="79"/>
      <c r="AL16" s="80"/>
      <c r="AM16" s="80"/>
      <c r="AN16" s="80"/>
      <c r="AO16" s="53"/>
      <c r="AP16" s="53"/>
      <c r="AQ16" s="31">
        <f t="shared" si="5"/>
        <v>6</v>
      </c>
      <c r="AR16" s="31">
        <f t="shared" si="3"/>
        <v>4271.8</v>
      </c>
    </row>
    <row r="17" spans="2:44" x14ac:dyDescent="0.25">
      <c r="B17" s="115"/>
      <c r="D17" s="28" t="str">
        <f t="shared" si="0"/>
        <v>07</v>
      </c>
      <c r="E17" s="18"/>
      <c r="F17" s="19"/>
      <c r="G17" s="112">
        <f t="shared" si="1"/>
        <v>4983.7700000000004</v>
      </c>
      <c r="H17" s="113"/>
      <c r="I17" s="113"/>
      <c r="J17" s="113"/>
      <c r="K17" s="114"/>
      <c r="L17" s="62"/>
      <c r="M17" s="63"/>
      <c r="N17" s="63"/>
      <c r="O17" s="64"/>
      <c r="P17" s="65"/>
      <c r="Q17" s="66"/>
      <c r="R17" s="66"/>
      <c r="S17" s="67"/>
      <c r="T17" s="65"/>
      <c r="U17" s="66"/>
      <c r="V17" s="66"/>
      <c r="W17" s="67"/>
      <c r="X17" s="62">
        <f t="shared" si="2"/>
        <v>4983.7700000000004</v>
      </c>
      <c r="Y17" s="63"/>
      <c r="Z17" s="63"/>
      <c r="AA17" s="63"/>
      <c r="AB17" s="64"/>
      <c r="AC17" s="98">
        <f t="shared" si="4"/>
        <v>46199</v>
      </c>
      <c r="AD17" s="99"/>
      <c r="AE17" s="99"/>
      <c r="AF17" s="99"/>
      <c r="AG17" s="99"/>
      <c r="AH17" s="116"/>
      <c r="AI17" s="79"/>
      <c r="AJ17" s="79"/>
      <c r="AK17" s="79"/>
      <c r="AL17" s="80"/>
      <c r="AM17" s="80"/>
      <c r="AN17" s="80"/>
      <c r="AO17" s="53"/>
      <c r="AP17" s="53"/>
      <c r="AQ17" s="31">
        <f t="shared" si="5"/>
        <v>7</v>
      </c>
      <c r="AR17" s="31">
        <f t="shared" si="3"/>
        <v>4983.7700000000004</v>
      </c>
    </row>
    <row r="18" spans="2:44" x14ac:dyDescent="0.25">
      <c r="B18" s="16"/>
      <c r="D18" s="28" t="str">
        <f t="shared" si="0"/>
        <v>08</v>
      </c>
      <c r="E18" s="18"/>
      <c r="F18" s="19"/>
      <c r="G18" s="112">
        <f t="shared" si="1"/>
        <v>5695.74</v>
      </c>
      <c r="H18" s="113"/>
      <c r="I18" s="113"/>
      <c r="J18" s="113"/>
      <c r="K18" s="114"/>
      <c r="L18" s="62"/>
      <c r="M18" s="63"/>
      <c r="N18" s="63"/>
      <c r="O18" s="64"/>
      <c r="P18" s="65"/>
      <c r="Q18" s="66"/>
      <c r="R18" s="66"/>
      <c r="S18" s="67"/>
      <c r="T18" s="65"/>
      <c r="U18" s="66"/>
      <c r="V18" s="66"/>
      <c r="W18" s="67"/>
      <c r="X18" s="62">
        <f t="shared" si="2"/>
        <v>5695.74</v>
      </c>
      <c r="Y18" s="63"/>
      <c r="Z18" s="63"/>
      <c r="AA18" s="63"/>
      <c r="AB18" s="64"/>
      <c r="AC18" s="98">
        <f t="shared" si="4"/>
        <v>46201</v>
      </c>
      <c r="AD18" s="99"/>
      <c r="AE18" s="99"/>
      <c r="AF18" s="99"/>
      <c r="AG18" s="99"/>
      <c r="AH18" s="116"/>
      <c r="AI18" s="79"/>
      <c r="AJ18" s="79"/>
      <c r="AK18" s="79"/>
      <c r="AL18" s="80"/>
      <c r="AM18" s="80"/>
      <c r="AN18" s="80"/>
      <c r="AO18" s="53"/>
      <c r="AP18" s="53"/>
      <c r="AQ18" s="31">
        <f t="shared" si="5"/>
        <v>8</v>
      </c>
      <c r="AR18" s="31">
        <f t="shared" si="3"/>
        <v>5695.74</v>
      </c>
    </row>
    <row r="19" spans="2:44" x14ac:dyDescent="0.25">
      <c r="B19" s="16"/>
      <c r="D19" s="28" t="str">
        <f t="shared" si="0"/>
        <v>09</v>
      </c>
      <c r="E19" s="18"/>
      <c r="F19" s="19"/>
      <c r="G19" s="112">
        <f t="shared" si="1"/>
        <v>6407.71</v>
      </c>
      <c r="H19" s="113"/>
      <c r="I19" s="113"/>
      <c r="J19" s="113"/>
      <c r="K19" s="114"/>
      <c r="L19" s="62"/>
      <c r="M19" s="63"/>
      <c r="N19" s="63"/>
      <c r="O19" s="64"/>
      <c r="P19" s="65"/>
      <c r="Q19" s="66"/>
      <c r="R19" s="66"/>
      <c r="S19" s="67"/>
      <c r="T19" s="65"/>
      <c r="U19" s="66"/>
      <c r="V19" s="66"/>
      <c r="W19" s="67"/>
      <c r="X19" s="62">
        <f t="shared" si="2"/>
        <v>6407.71</v>
      </c>
      <c r="Y19" s="63"/>
      <c r="Z19" s="63"/>
      <c r="AA19" s="63"/>
      <c r="AB19" s="64"/>
      <c r="AC19" s="98">
        <f t="shared" si="4"/>
        <v>46203</v>
      </c>
      <c r="AD19" s="99"/>
      <c r="AE19" s="99"/>
      <c r="AF19" s="99"/>
      <c r="AG19" s="99"/>
      <c r="AH19" s="116"/>
      <c r="AI19" s="79"/>
      <c r="AJ19" s="79"/>
      <c r="AK19" s="79"/>
      <c r="AL19" s="80"/>
      <c r="AM19" s="80"/>
      <c r="AN19" s="80"/>
      <c r="AO19" s="53"/>
      <c r="AP19" s="53"/>
      <c r="AQ19" s="31">
        <f t="shared" si="5"/>
        <v>9</v>
      </c>
      <c r="AR19" s="31">
        <f t="shared" si="3"/>
        <v>6407.71</v>
      </c>
    </row>
    <row r="20" spans="2:44" x14ac:dyDescent="0.25">
      <c r="D20" s="28" t="str">
        <f t="shared" si="0"/>
        <v>10</v>
      </c>
      <c r="E20" s="18"/>
      <c r="F20" s="19"/>
      <c r="G20" s="112">
        <f t="shared" si="1"/>
        <v>7119.67</v>
      </c>
      <c r="H20" s="113"/>
      <c r="I20" s="113"/>
      <c r="J20" s="113"/>
      <c r="K20" s="114"/>
      <c r="L20" s="62"/>
      <c r="M20" s="63"/>
      <c r="N20" s="63"/>
      <c r="O20" s="64"/>
      <c r="P20" s="65"/>
      <c r="Q20" s="66"/>
      <c r="R20" s="66"/>
      <c r="S20" s="67"/>
      <c r="T20" s="65"/>
      <c r="U20" s="66"/>
      <c r="V20" s="66"/>
      <c r="W20" s="67"/>
      <c r="X20" s="62">
        <f t="shared" si="2"/>
        <v>7119.67</v>
      </c>
      <c r="Y20" s="63"/>
      <c r="Z20" s="63"/>
      <c r="AA20" s="63"/>
      <c r="AB20" s="64"/>
      <c r="AC20" s="98">
        <f t="shared" si="4"/>
        <v>46205</v>
      </c>
      <c r="AD20" s="99"/>
      <c r="AE20" s="99"/>
      <c r="AF20" s="99"/>
      <c r="AG20" s="99"/>
      <c r="AH20" s="116"/>
      <c r="AI20" s="79"/>
      <c r="AJ20" s="79"/>
      <c r="AK20" s="79"/>
      <c r="AL20" s="80"/>
      <c r="AM20" s="80"/>
      <c r="AN20" s="80"/>
      <c r="AO20" s="53"/>
      <c r="AP20" s="53"/>
      <c r="AQ20" s="31">
        <f t="shared" si="5"/>
        <v>10</v>
      </c>
      <c r="AR20" s="31">
        <f t="shared" si="3"/>
        <v>7119.67</v>
      </c>
    </row>
    <row r="21" spans="2:44" x14ac:dyDescent="0.25">
      <c r="D21" s="1" t="s">
        <v>34</v>
      </c>
      <c r="AI21" s="80"/>
      <c r="AJ21" s="80"/>
      <c r="AK21" s="80"/>
      <c r="AL21" s="80"/>
      <c r="AM21" s="80"/>
      <c r="AN21" s="80"/>
      <c r="AO21" s="53"/>
      <c r="AP21" s="53"/>
    </row>
    <row r="22" spans="2:44" x14ac:dyDescent="0.25">
      <c r="AI22" s="80"/>
      <c r="AJ22" s="80"/>
      <c r="AK22" s="80"/>
      <c r="AL22" s="80"/>
      <c r="AM22" s="80"/>
      <c r="AN22" s="80"/>
      <c r="AO22" s="53"/>
      <c r="AP22" s="53"/>
    </row>
    <row r="23" spans="2:44" x14ac:dyDescent="0.25">
      <c r="B23" s="2"/>
    </row>
  </sheetData>
  <sheetProtection algorithmName="SHA-512" hashValue="64AAt3vKin3s/ms/K4JGVjO6DGRtCXyqxu7PiN4ICKIZnYlbW/Q0EKVSV0jbibzZ3F3c1JBXpOyS3POvImHH9Q==" saltValue="Oh+4gMBVcVRcXeJx2XsFjA==" spinCount="100000" sheet="1" objects="1" scenarios="1"/>
  <mergeCells count="35">
    <mergeCell ref="AJ9:AO9"/>
    <mergeCell ref="D5:N5"/>
    <mergeCell ref="O5:X5"/>
    <mergeCell ref="AD5:AH5"/>
    <mergeCell ref="D6:N6"/>
    <mergeCell ref="O6:X6"/>
    <mergeCell ref="AD6:AH6"/>
    <mergeCell ref="AI7:AP7"/>
    <mergeCell ref="Y5:AC5"/>
    <mergeCell ref="P10:S10"/>
    <mergeCell ref="L10:O10"/>
    <mergeCell ref="G18:K18"/>
    <mergeCell ref="AC18:AH18"/>
    <mergeCell ref="G19:K19"/>
    <mergeCell ref="AC19:AH19"/>
    <mergeCell ref="T10:W10"/>
    <mergeCell ref="AC10:AH10"/>
    <mergeCell ref="G20:K20"/>
    <mergeCell ref="AC20:AH20"/>
    <mergeCell ref="AC14:AH14"/>
    <mergeCell ref="G15:K15"/>
    <mergeCell ref="AC15:AH15"/>
    <mergeCell ref="G16:K16"/>
    <mergeCell ref="AC16:AH16"/>
    <mergeCell ref="G17:K17"/>
    <mergeCell ref="AC17:AH17"/>
    <mergeCell ref="B11:B17"/>
    <mergeCell ref="G11:K11"/>
    <mergeCell ref="P11:S11"/>
    <mergeCell ref="AC11:AH11"/>
    <mergeCell ref="G12:K12"/>
    <mergeCell ref="AC12:AH12"/>
    <mergeCell ref="G13:K13"/>
    <mergeCell ref="AC13:AH13"/>
    <mergeCell ref="G14:K14"/>
  </mergeCells>
  <dataValidations disablePrompts="1" count="3">
    <dataValidation type="date" allowBlank="1" showInputMessage="1" showErrorMessage="1" sqref="D6:N6" xr:uid="{077B2C5C-A76B-42CE-A330-279007F0C55C}">
      <formula1>45722</formula1>
      <formula2>46387</formula2>
    </dataValidation>
    <dataValidation type="decimal" operator="greaterThan" allowBlank="1" showInputMessage="1" showErrorMessage="1" sqref="O6:Y6" xr:uid="{08BB6059-BFB9-490D-AEC3-6B2DC326CFCF}">
      <formula1>0</formula1>
    </dataValidation>
    <dataValidation type="decimal" allowBlank="1" showInputMessage="1" showErrorMessage="1" error="Valores entre 0 e 999999999,9999" sqref="AD6:AH6" xr:uid="{09DB150E-AAB7-44DE-AEAA-D4DE6CCC0BA8}">
      <formula1>0</formula1>
      <formula2>999999999.9999</formula2>
    </dataValidation>
  </dataValidations>
  <pageMargins left="0.70866141732283472" right="0.31496062992125984" top="0.35433070866141736" bottom="0.35433070866141736" header="0.31496062992125984" footer="0.31496062992125984"/>
  <pageSetup paperSize="9" scale="84" orientation="portrait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IMPORTACAO</vt:lpstr>
      <vt:lpstr>EXPORTACAO</vt:lpstr>
      <vt:lpstr>EXPORTACAO!Area_de_impressao</vt:lpstr>
      <vt:lpstr>IMPORTACAO!Area_de_impressao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Mendes</dc:creator>
  <cp:lastModifiedBy>NASCIMENTO Sigride</cp:lastModifiedBy>
  <cp:lastPrinted>2025-04-08T14:28:01Z</cp:lastPrinted>
  <dcterms:created xsi:type="dcterms:W3CDTF">2024-08-17T14:36:00Z</dcterms:created>
  <dcterms:modified xsi:type="dcterms:W3CDTF">2026-10-08T20:25:09Z</dcterms:modified>
</cp:coreProperties>
</file>